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7650" tabRatio="637" firstSheet="1" activeTab="1"/>
  </bookViews>
  <sheets>
    <sheet name="Cover Letter" sheetId="13" state="hidden" r:id="rId1"/>
    <sheet name="FY19 Budget Outline" sheetId="17" r:id="rId2"/>
    <sheet name="FY19 Budget Details" sheetId="10" r:id="rId3"/>
    <sheet name="Pie Chart" sheetId="21" r:id="rId4"/>
    <sheet name="Reserve Fund History" sheetId="23" r:id="rId5"/>
    <sheet name="FY17 Change log" sheetId="22" state="hidden" r:id="rId6"/>
    <sheet name="FY18 Change log" sheetId="24" state="hidden" r:id="rId7"/>
    <sheet name="FY16 Change log" sheetId="20" state="hidden" r:id="rId8"/>
    <sheet name="FY15 Change log" sheetId="18" state="hidden" r:id="rId9"/>
    <sheet name="FY14 Budget Outline" sheetId="11" state="hidden" r:id="rId10"/>
    <sheet name="FY13 Change log" sheetId="12" state="hidden" r:id="rId11"/>
    <sheet name="FY14 Change log" sheetId="14" state="hidden" r:id="rId12"/>
    <sheet name="FY13 Budget Outline" sheetId="15" state="hidden" r:id="rId13"/>
    <sheet name="FY13 Budget Details" sheetId="16" state="hidden" r:id="rId14"/>
    <sheet name="IT" sheetId="19" state="hidden" r:id="rId15"/>
  </sheets>
  <definedNames>
    <definedName name="InflationInc" localSheetId="13">#REF!</definedName>
    <definedName name="InflationInc" localSheetId="12">#REF!</definedName>
    <definedName name="InflationInc" localSheetId="11">#REF!</definedName>
    <definedName name="InflationInc" localSheetId="8">#REF!</definedName>
    <definedName name="InflationInc" localSheetId="7">#REF!</definedName>
    <definedName name="InflationInc" localSheetId="5">#REF!</definedName>
    <definedName name="InflationInc" localSheetId="6">#REF!</definedName>
    <definedName name="InflationInc" localSheetId="2">#REF!</definedName>
    <definedName name="InflationInc" localSheetId="1">#REF!</definedName>
    <definedName name="InflationInc">#REF!</definedName>
    <definedName name="InflationIncrease" localSheetId="8">#REF!</definedName>
    <definedName name="InflationIncrease" localSheetId="7">#REF!</definedName>
    <definedName name="InflationIncrease" localSheetId="5">#REF!</definedName>
    <definedName name="InflationIncrease" localSheetId="6">#REF!</definedName>
    <definedName name="InflationIncrease" localSheetId="1">#REF!</definedName>
    <definedName name="InflationIncrease">#REF!</definedName>
    <definedName name="_xlnm.Print_Area" localSheetId="13">'FY13 Budget Details'!$A$1:$J$231</definedName>
    <definedName name="_xlnm.Print_Area" localSheetId="12">'FY13 Budget Outline'!$A$1:$E$46</definedName>
    <definedName name="_xlnm.Print_Area" localSheetId="9">'FY14 Budget Outline'!$A$1:$E$44</definedName>
    <definedName name="_xlnm.Print_Area" localSheetId="5">'FY17 Change log'!$A$1:$C$45</definedName>
    <definedName name="_xlnm.Print_Area" localSheetId="6">'FY18 Change log'!$A$1:$C$45</definedName>
    <definedName name="_xlnm.Print_Area" localSheetId="2">'FY19 Budget Details'!$A$1:$M$220</definedName>
    <definedName name="_xlnm.Print_Area" localSheetId="3">'Pie Chart'!$A$1:$K$32</definedName>
    <definedName name="_xlnm.Print_Titles" localSheetId="13">'FY13 Budget Details'!$1:$4</definedName>
    <definedName name="_xlnm.Print_Titles" localSheetId="2">'FY19 Budget Details'!$1:$4</definedName>
    <definedName name="SalaryAll" localSheetId="13">#REF!,#REF!</definedName>
    <definedName name="SalaryAll" localSheetId="11">#REF!,#REF!</definedName>
    <definedName name="SalaryAll" localSheetId="8">#REF!,#REF!</definedName>
    <definedName name="SalaryAll" localSheetId="7">#REF!,#REF!</definedName>
    <definedName name="SalaryAll" localSheetId="5">#REF!,#REF!</definedName>
    <definedName name="SalaryAll" localSheetId="6">#REF!,#REF!</definedName>
    <definedName name="SalaryAll" localSheetId="2">#REF!,#REF!</definedName>
    <definedName name="SalaryAll" localSheetId="1">#REF!,#REF!</definedName>
    <definedName name="SalaryAll">#REF!,#REF!</definedName>
    <definedName name="SalaryBox" localSheetId="13">#REF!</definedName>
    <definedName name="SalaryBox" localSheetId="11">#REF!</definedName>
    <definedName name="SalaryBox" localSheetId="8">#REF!</definedName>
    <definedName name="SalaryBox" localSheetId="7">#REF!</definedName>
    <definedName name="SalaryBox" localSheetId="5">#REF!</definedName>
    <definedName name="SalaryBox" localSheetId="6">#REF!</definedName>
    <definedName name="SalaryBox" localSheetId="2">#REF!</definedName>
    <definedName name="SalaryBox" localSheetId="1">#REF!</definedName>
    <definedName name="SalaryBox">#REF!</definedName>
    <definedName name="SalaryInc" localSheetId="13">#REF!</definedName>
    <definedName name="SalaryInc" localSheetId="11">#REF!</definedName>
    <definedName name="SalaryInc" localSheetId="8">#REF!</definedName>
    <definedName name="SalaryInc" localSheetId="7">#REF!</definedName>
    <definedName name="SalaryInc" localSheetId="5">#REF!</definedName>
    <definedName name="SalaryInc" localSheetId="6">#REF!</definedName>
    <definedName name="SalaryInc" localSheetId="2">#REF!</definedName>
    <definedName name="SalaryInc" localSheetId="1">#REF!</definedName>
    <definedName name="SalaryInc">#REF!</definedName>
    <definedName name="SalaryInc2" localSheetId="5">#REF!</definedName>
    <definedName name="SalaryInc2" localSheetId="6">#REF!</definedName>
    <definedName name="SalaryInc2">#REF!</definedName>
    <definedName name="SalaryInc20xx">#REF!</definedName>
    <definedName name="SalaryPercent" localSheetId="13">#REF!</definedName>
    <definedName name="SalaryPercent" localSheetId="11">#REF!</definedName>
    <definedName name="SalaryPercent" localSheetId="8">#REF!</definedName>
    <definedName name="SalaryPercent" localSheetId="7">#REF!</definedName>
    <definedName name="SalaryPercent" localSheetId="5">#REF!</definedName>
    <definedName name="SalaryPercent" localSheetId="6">#REF!</definedName>
    <definedName name="SalaryPercent" localSheetId="2">#REF!</definedName>
    <definedName name="SalaryPercent" localSheetId="1">#REF!</definedName>
    <definedName name="SalaryPercent">#REF!</definedName>
  </definedNames>
  <calcPr calcId="162913"/>
</workbook>
</file>

<file path=xl/calcChain.xml><?xml version="1.0" encoding="utf-8"?>
<calcChain xmlns="http://schemas.openxmlformats.org/spreadsheetml/2006/main">
  <c r="N13" i="21" l="1"/>
  <c r="L213" i="10"/>
  <c r="Q212" i="10"/>
  <c r="L212" i="10"/>
  <c r="N8" i="21" l="1"/>
  <c r="Q23" i="10" l="1"/>
  <c r="M23" i="10"/>
  <c r="L23" i="10"/>
  <c r="E15" i="17" l="1"/>
  <c r="M41" i="10"/>
  <c r="K183" i="10" l="1"/>
  <c r="K180" i="10" l="1"/>
  <c r="K178" i="10"/>
  <c r="K173" i="10"/>
  <c r="K151" i="10"/>
  <c r="K125" i="10"/>
  <c r="K115" i="10"/>
  <c r="K98" i="10"/>
  <c r="K97" i="10"/>
  <c r="K95" i="10"/>
  <c r="K94" i="10"/>
  <c r="K72" i="10"/>
  <c r="K67" i="10"/>
  <c r="K81" i="10"/>
  <c r="K61" i="10"/>
  <c r="K60" i="10"/>
  <c r="K53" i="10"/>
  <c r="K52" i="10"/>
  <c r="K47" i="10"/>
  <c r="K46" i="10"/>
  <c r="K45" i="10"/>
  <c r="K38" i="10"/>
  <c r="K28" i="10"/>
  <c r="K27" i="10"/>
  <c r="K7" i="10"/>
  <c r="L82" i="10" l="1"/>
  <c r="K164" i="10" l="1"/>
  <c r="J164" i="10"/>
  <c r="J57" i="10" l="1"/>
  <c r="M158" i="10" l="1"/>
  <c r="L158" i="10"/>
  <c r="I164" i="10" l="1"/>
  <c r="H164" i="10"/>
  <c r="G164" i="10"/>
  <c r="F164" i="10"/>
  <c r="E164" i="10"/>
  <c r="D164" i="10"/>
  <c r="C164" i="10"/>
  <c r="L215" i="10" l="1"/>
  <c r="L214" i="10"/>
  <c r="L211" i="10"/>
  <c r="L210" i="10"/>
  <c r="L207" i="10"/>
  <c r="L206" i="10"/>
  <c r="L204" i="10"/>
  <c r="L203" i="10"/>
  <c r="L202" i="10"/>
  <c r="L199" i="10"/>
  <c r="L198" i="10"/>
  <c r="L197" i="10"/>
  <c r="L196" i="10"/>
  <c r="L193" i="10"/>
  <c r="L192" i="10"/>
  <c r="L191" i="10"/>
  <c r="L190" i="10"/>
  <c r="L187" i="10"/>
  <c r="L186" i="10"/>
  <c r="L183" i="10"/>
  <c r="L182" i="10"/>
  <c r="L181" i="10"/>
  <c r="L180" i="10"/>
  <c r="L179" i="10"/>
  <c r="L178" i="10"/>
  <c r="L175" i="10"/>
  <c r="L174" i="10"/>
  <c r="L173" i="10"/>
  <c r="L170" i="10"/>
  <c r="L167" i="10"/>
  <c r="L166" i="10"/>
  <c r="L159" i="10"/>
  <c r="L157" i="10"/>
  <c r="L156" i="10"/>
  <c r="L155" i="10"/>
  <c r="L154" i="10"/>
  <c r="L153" i="10"/>
  <c r="L151" i="10"/>
  <c r="L150" i="10"/>
  <c r="L149" i="10"/>
  <c r="L148" i="10"/>
  <c r="L146" i="10"/>
  <c r="L145" i="10"/>
  <c r="L144" i="10"/>
  <c r="L139" i="10"/>
  <c r="L138" i="10"/>
  <c r="L137" i="10"/>
  <c r="L136" i="10"/>
  <c r="L135" i="10"/>
  <c r="L132" i="10"/>
  <c r="L131" i="10"/>
  <c r="L130" i="10"/>
  <c r="L129" i="10"/>
  <c r="L126" i="10"/>
  <c r="L125" i="10"/>
  <c r="L122" i="10"/>
  <c r="L121" i="10"/>
  <c r="L118" i="10"/>
  <c r="L117" i="10"/>
  <c r="L116" i="10"/>
  <c r="L115" i="10"/>
  <c r="L112" i="10"/>
  <c r="L111" i="10"/>
  <c r="L110" i="10"/>
  <c r="L107" i="10"/>
  <c r="L104" i="10"/>
  <c r="L103" i="10"/>
  <c r="L102" i="10"/>
  <c r="L101" i="10"/>
  <c r="L100" i="10"/>
  <c r="L99" i="10"/>
  <c r="L98" i="10"/>
  <c r="L97" i="10"/>
  <c r="L95" i="10"/>
  <c r="L94" i="10"/>
  <c r="L93" i="10"/>
  <c r="L90" i="10"/>
  <c r="L89" i="10"/>
  <c r="L88" i="10"/>
  <c r="L87" i="10"/>
  <c r="L86" i="10"/>
  <c r="L85" i="10"/>
  <c r="L84" i="10"/>
  <c r="L83" i="10"/>
  <c r="L81" i="10"/>
  <c r="L80" i="10"/>
  <c r="L77" i="10"/>
  <c r="L76" i="10"/>
  <c r="L73" i="10"/>
  <c r="L72" i="10"/>
  <c r="L71" i="10"/>
  <c r="L68" i="10"/>
  <c r="L67" i="10"/>
  <c r="L66" i="10"/>
  <c r="L63" i="10"/>
  <c r="L62" i="10"/>
  <c r="L61" i="10"/>
  <c r="L60" i="10"/>
  <c r="L57" i="10"/>
  <c r="L56" i="10"/>
  <c r="L55" i="10"/>
  <c r="L54" i="10"/>
  <c r="L53" i="10"/>
  <c r="L52" i="10"/>
  <c r="L49" i="10"/>
  <c r="L48" i="10"/>
  <c r="L47" i="10"/>
  <c r="L46" i="10"/>
  <c r="L45" i="10"/>
  <c r="L42" i="10"/>
  <c r="L41" i="10"/>
  <c r="L40" i="10"/>
  <c r="L39" i="10"/>
  <c r="L38" i="10"/>
  <c r="L35" i="10"/>
  <c r="L34" i="10"/>
  <c r="L31" i="10"/>
  <c r="L30" i="10"/>
  <c r="L28" i="10"/>
  <c r="L27" i="10"/>
  <c r="L24" i="10"/>
  <c r="L22" i="10"/>
  <c r="L21" i="10"/>
  <c r="L20" i="10"/>
  <c r="L19" i="10"/>
  <c r="L18" i="10"/>
  <c r="L17" i="10"/>
  <c r="L14" i="10"/>
  <c r="L13" i="10"/>
  <c r="L12" i="10"/>
  <c r="L11" i="10"/>
  <c r="L10" i="10"/>
  <c r="L9" i="10"/>
  <c r="L8" i="10"/>
  <c r="L7" i="10"/>
  <c r="L6" i="10"/>
  <c r="L29" i="10"/>
  <c r="M31" i="10"/>
  <c r="M84" i="10"/>
  <c r="M104" i="10"/>
  <c r="M215" i="10"/>
  <c r="M214" i="10"/>
  <c r="M213" i="10"/>
  <c r="M211" i="10"/>
  <c r="M210" i="10"/>
  <c r="M202" i="10"/>
  <c r="M199" i="10"/>
  <c r="M198" i="10"/>
  <c r="M197" i="10"/>
  <c r="M196" i="10"/>
  <c r="M193" i="10"/>
  <c r="M187" i="10"/>
  <c r="M186" i="10"/>
  <c r="M183" i="10"/>
  <c r="M182" i="10"/>
  <c r="M181" i="10"/>
  <c r="M180" i="10"/>
  <c r="M179" i="10"/>
  <c r="M178" i="10"/>
  <c r="M175" i="10"/>
  <c r="M174" i="10"/>
  <c r="M170" i="10"/>
  <c r="M167" i="10"/>
  <c r="M166" i="10"/>
  <c r="M157" i="10"/>
  <c r="M156" i="10"/>
  <c r="M155" i="10"/>
  <c r="M154" i="10"/>
  <c r="M153" i="10"/>
  <c r="M151" i="10"/>
  <c r="M150" i="10"/>
  <c r="M149" i="10"/>
  <c r="M148" i="10"/>
  <c r="M146" i="10"/>
  <c r="M145" i="10"/>
  <c r="M144" i="10"/>
  <c r="M139" i="10"/>
  <c r="M138" i="10"/>
  <c r="M137" i="10"/>
  <c r="M135" i="10"/>
  <c r="M131" i="10"/>
  <c r="M130" i="10"/>
  <c r="M129" i="10"/>
  <c r="M125" i="10"/>
  <c r="M122" i="10"/>
  <c r="M121" i="10"/>
  <c r="M118" i="10"/>
  <c r="M116" i="10"/>
  <c r="M115" i="10"/>
  <c r="M112" i="10"/>
  <c r="M111" i="10"/>
  <c r="M110" i="10"/>
  <c r="M107" i="10"/>
  <c r="M103" i="10"/>
  <c r="M102" i="10"/>
  <c r="M101" i="10"/>
  <c r="M100" i="10"/>
  <c r="M99" i="10"/>
  <c r="M98" i="10"/>
  <c r="M97" i="10"/>
  <c r="M95" i="10"/>
  <c r="M94" i="10"/>
  <c r="M93" i="10"/>
  <c r="M90" i="10"/>
  <c r="M89" i="10"/>
  <c r="M88" i="10"/>
  <c r="M87" i="10"/>
  <c r="M86" i="10"/>
  <c r="M85" i="10"/>
  <c r="M83" i="10"/>
  <c r="M81" i="10"/>
  <c r="M80" i="10"/>
  <c r="M77" i="10"/>
  <c r="M73" i="10"/>
  <c r="M72" i="10"/>
  <c r="M71" i="10"/>
  <c r="M68" i="10"/>
  <c r="M67" i="10"/>
  <c r="M66" i="10"/>
  <c r="M63" i="10"/>
  <c r="M62" i="10"/>
  <c r="M61" i="10"/>
  <c r="M60" i="10"/>
  <c r="M57" i="10"/>
  <c r="M55" i="10"/>
  <c r="M54" i="10"/>
  <c r="M53" i="10"/>
  <c r="M52" i="10"/>
  <c r="M49" i="10"/>
  <c r="M48" i="10"/>
  <c r="M47" i="10"/>
  <c r="M46" i="10"/>
  <c r="M45" i="10"/>
  <c r="M42" i="10"/>
  <c r="M40" i="10"/>
  <c r="M39" i="10"/>
  <c r="M38" i="10"/>
  <c r="M35" i="10"/>
  <c r="M34" i="10"/>
  <c r="M30" i="10"/>
  <c r="M29" i="10"/>
  <c r="M28" i="10"/>
  <c r="M27" i="10"/>
  <c r="M22" i="10"/>
  <c r="M21" i="10"/>
  <c r="M20" i="10"/>
  <c r="M19" i="10"/>
  <c r="M18" i="10"/>
  <c r="M17" i="10"/>
  <c r="M14" i="10"/>
  <c r="M13" i="10"/>
  <c r="M12" i="10"/>
  <c r="M11" i="10"/>
  <c r="M10" i="10"/>
  <c r="M9" i="10"/>
  <c r="M8" i="10"/>
  <c r="M7" i="10"/>
  <c r="M6" i="10"/>
  <c r="M173" i="10"/>
  <c r="K25" i="10" l="1"/>
  <c r="K32" i="10"/>
  <c r="C15" i="23" l="1"/>
  <c r="Q216" i="10" l="1"/>
  <c r="Q215" i="10"/>
  <c r="Q214" i="10"/>
  <c r="Q213" i="10"/>
  <c r="Q211" i="10"/>
  <c r="Q210" i="10"/>
  <c r="Q209" i="10"/>
  <c r="Q208" i="10"/>
  <c r="Q207" i="10"/>
  <c r="Q206" i="10"/>
  <c r="Q205" i="10"/>
  <c r="Q204" i="10"/>
  <c r="Q203" i="10"/>
  <c r="Q202" i="10"/>
  <c r="Q201" i="10"/>
  <c r="Q200" i="10"/>
  <c r="Q199" i="10"/>
  <c r="Q198" i="10"/>
  <c r="Q197" i="10"/>
  <c r="Q196" i="10"/>
  <c r="Q195" i="10"/>
  <c r="Q194" i="10"/>
  <c r="Q193" i="10"/>
  <c r="Q192" i="10"/>
  <c r="Q191" i="10"/>
  <c r="Q190" i="10"/>
  <c r="Q189" i="10"/>
  <c r="Q188" i="10"/>
  <c r="Q187" i="10"/>
  <c r="Q186" i="10"/>
  <c r="Q185" i="10"/>
  <c r="Q184" i="10"/>
  <c r="Q183" i="10"/>
  <c r="Q182" i="10"/>
  <c r="Q181" i="10"/>
  <c r="Q180" i="10"/>
  <c r="Q179" i="10"/>
  <c r="Q178" i="10"/>
  <c r="Q177" i="10"/>
  <c r="Q176" i="10"/>
  <c r="Q175" i="10"/>
  <c r="Q174" i="10"/>
  <c r="Q173" i="10"/>
  <c r="Q172" i="10"/>
  <c r="Q171" i="10"/>
  <c r="Q170" i="10"/>
  <c r="Q169" i="10"/>
  <c r="Q168" i="10"/>
  <c r="Q167" i="10"/>
  <c r="Q166" i="10"/>
  <c r="Q165" i="10"/>
  <c r="Q160" i="10"/>
  <c r="Q159" i="10"/>
  <c r="Q157" i="10"/>
  <c r="Q156" i="10"/>
  <c r="Q155" i="10"/>
  <c r="Q154" i="10"/>
  <c r="Q153" i="10"/>
  <c r="Q152" i="10"/>
  <c r="Q151" i="10"/>
  <c r="Q150" i="10"/>
  <c r="Q149" i="10"/>
  <c r="Q148" i="10"/>
  <c r="Q147" i="10"/>
  <c r="Q146" i="10"/>
  <c r="Q145" i="10"/>
  <c r="Q144" i="10"/>
  <c r="Q143" i="10"/>
  <c r="Q142" i="10"/>
  <c r="Q141" i="10"/>
  <c r="Q140" i="10"/>
  <c r="Q139" i="10"/>
  <c r="Q138" i="10"/>
  <c r="Q137" i="10"/>
  <c r="Q136" i="10"/>
  <c r="Q135" i="10"/>
  <c r="Q134" i="10"/>
  <c r="Q133" i="10"/>
  <c r="Q132" i="10"/>
  <c r="Q131" i="10"/>
  <c r="Q130" i="10"/>
  <c r="Q129" i="10"/>
  <c r="Q128" i="10"/>
  <c r="Q127" i="10"/>
  <c r="Q126" i="10"/>
  <c r="Q125" i="10"/>
  <c r="Q124" i="10"/>
  <c r="Q123" i="10"/>
  <c r="Q122" i="10"/>
  <c r="Q121" i="10"/>
  <c r="Q120" i="10"/>
  <c r="Q119" i="10"/>
  <c r="Q118" i="10"/>
  <c r="Q117" i="10"/>
  <c r="Q116" i="10"/>
  <c r="Q115" i="10"/>
  <c r="Q114" i="10"/>
  <c r="Q113" i="10"/>
  <c r="Q112" i="10"/>
  <c r="Q111" i="10"/>
  <c r="Q110" i="10"/>
  <c r="Q109" i="10"/>
  <c r="Q108" i="10"/>
  <c r="Q107" i="10"/>
  <c r="Q106" i="10"/>
  <c r="Q105" i="10"/>
  <c r="Q104" i="10"/>
  <c r="Q103" i="10"/>
  <c r="Q102" i="10"/>
  <c r="Q101" i="10"/>
  <c r="Q100" i="10"/>
  <c r="Q99" i="10"/>
  <c r="Q98" i="10"/>
  <c r="Q97" i="10"/>
  <c r="Q95" i="10"/>
  <c r="Q94" i="10"/>
  <c r="Q93" i="10"/>
  <c r="Q92" i="10"/>
  <c r="Q91" i="10"/>
  <c r="Q90" i="10"/>
  <c r="Q89" i="10"/>
  <c r="Q88" i="10"/>
  <c r="Q87" i="10"/>
  <c r="Q86" i="10"/>
  <c r="Q85" i="10"/>
  <c r="Q84" i="10"/>
  <c r="Q83" i="10"/>
  <c r="Q81" i="10"/>
  <c r="Q80" i="10"/>
  <c r="Q79" i="10"/>
  <c r="Q78" i="10"/>
  <c r="Q77" i="10"/>
  <c r="Q76" i="10"/>
  <c r="Q75" i="10"/>
  <c r="Q74" i="10"/>
  <c r="Q73" i="10"/>
  <c r="Q72" i="10"/>
  <c r="Q71" i="10"/>
  <c r="Q70" i="10"/>
  <c r="Q69" i="10"/>
  <c r="Q68" i="10"/>
  <c r="Q67" i="10"/>
  <c r="Q66" i="10"/>
  <c r="Q65" i="10"/>
  <c r="Q64" i="10"/>
  <c r="Q63" i="10"/>
  <c r="Q62" i="10"/>
  <c r="Q61" i="10"/>
  <c r="Q60" i="10"/>
  <c r="Q59" i="10"/>
  <c r="Q58" i="10"/>
  <c r="Q57" i="10"/>
  <c r="Q56" i="10"/>
  <c r="Q55" i="10"/>
  <c r="Q54" i="10"/>
  <c r="Q53" i="10"/>
  <c r="Q52" i="10"/>
  <c r="Q51" i="10"/>
  <c r="Q50" i="10"/>
  <c r="Q49" i="10"/>
  <c r="Q48" i="10"/>
  <c r="Q47" i="10"/>
  <c r="Q46" i="10"/>
  <c r="Q45" i="10"/>
  <c r="Q44" i="10"/>
  <c r="Q43" i="10"/>
  <c r="Q42" i="10"/>
  <c r="Q41" i="10"/>
  <c r="Q40" i="10"/>
  <c r="Q39" i="10"/>
  <c r="Q38" i="10"/>
  <c r="Q37" i="10"/>
  <c r="Q36" i="10"/>
  <c r="Q35" i="10"/>
  <c r="Q34" i="10"/>
  <c r="Q33" i="10"/>
  <c r="Q32" i="10"/>
  <c r="Q31" i="10"/>
  <c r="Q30" i="10"/>
  <c r="Q29" i="10"/>
  <c r="Q28" i="10"/>
  <c r="Q27" i="10"/>
  <c r="Q26" i="10"/>
  <c r="Q25" i="10"/>
  <c r="Q24" i="10"/>
  <c r="Q22" i="10"/>
  <c r="Q21" i="10"/>
  <c r="Q20" i="10"/>
  <c r="Q19" i="10"/>
  <c r="Q18" i="10"/>
  <c r="Q17" i="10"/>
  <c r="Q16" i="10"/>
  <c r="Q15" i="10"/>
  <c r="Q14" i="10"/>
  <c r="Q13" i="10"/>
  <c r="Q12" i="10"/>
  <c r="Q11" i="10"/>
  <c r="Q10" i="10"/>
  <c r="Q9" i="10"/>
  <c r="Q8" i="10"/>
  <c r="Q7" i="10"/>
  <c r="Q6" i="10"/>
  <c r="K133" i="10" l="1"/>
  <c r="J133" i="10"/>
  <c r="L133" i="10" l="1"/>
  <c r="M133" i="10"/>
  <c r="A35" i="19"/>
  <c r="H25" i="19"/>
  <c r="E25" i="19"/>
  <c r="B25" i="19"/>
  <c r="I23" i="19"/>
  <c r="D23" i="19"/>
  <c r="F22" i="19"/>
  <c r="C22" i="19"/>
  <c r="I22" i="19" s="1"/>
  <c r="I19" i="19"/>
  <c r="I18" i="19"/>
  <c r="I17" i="19"/>
  <c r="I16" i="19"/>
  <c r="I15" i="19"/>
  <c r="I14" i="19"/>
  <c r="I13" i="19"/>
  <c r="I12" i="19"/>
  <c r="G11" i="19"/>
  <c r="I11" i="19" s="1"/>
  <c r="I10" i="19"/>
  <c r="G9" i="19"/>
  <c r="I9" i="19" s="1"/>
  <c r="C9" i="19"/>
  <c r="F8" i="19"/>
  <c r="F25" i="19" s="1"/>
  <c r="D8" i="19"/>
  <c r="D25" i="19" s="1"/>
  <c r="C8" i="19"/>
  <c r="C25" i="19" s="1"/>
  <c r="N224" i="16"/>
  <c r="N223" i="16"/>
  <c r="N222" i="16"/>
  <c r="N221" i="16"/>
  <c r="N220" i="16"/>
  <c r="N219" i="16"/>
  <c r="N218" i="16"/>
  <c r="N217" i="16"/>
  <c r="N216" i="16"/>
  <c r="N215" i="16"/>
  <c r="N214" i="16"/>
  <c r="N213" i="16"/>
  <c r="N212" i="16"/>
  <c r="N211" i="16"/>
  <c r="N210" i="16"/>
  <c r="N209" i="16"/>
  <c r="N208" i="16"/>
  <c r="N207" i="16"/>
  <c r="N206" i="16"/>
  <c r="N205" i="16"/>
  <c r="N204" i="16"/>
  <c r="N203" i="16"/>
  <c r="N202" i="16"/>
  <c r="N201" i="16"/>
  <c r="N200" i="16"/>
  <c r="N199" i="16"/>
  <c r="N198" i="16"/>
  <c r="N197" i="16"/>
  <c r="N196" i="16"/>
  <c r="N195" i="16"/>
  <c r="N194" i="16"/>
  <c r="N193" i="16"/>
  <c r="N192" i="16"/>
  <c r="N191" i="16"/>
  <c r="N190" i="16"/>
  <c r="N189" i="16"/>
  <c r="N188" i="16"/>
  <c r="N187" i="16"/>
  <c r="N186" i="16"/>
  <c r="N185" i="16"/>
  <c r="N184" i="16"/>
  <c r="N183" i="16"/>
  <c r="N182" i="16"/>
  <c r="N181" i="16"/>
  <c r="N180" i="16"/>
  <c r="N179" i="16"/>
  <c r="N178" i="16"/>
  <c r="N177" i="16"/>
  <c r="N176" i="16"/>
  <c r="N175" i="16"/>
  <c r="N174" i="16"/>
  <c r="N173" i="16"/>
  <c r="N172" i="16"/>
  <c r="N171" i="16"/>
  <c r="N170" i="16"/>
  <c r="N169" i="16"/>
  <c r="N168" i="16"/>
  <c r="N167" i="16"/>
  <c r="N166" i="16"/>
  <c r="N165" i="16"/>
  <c r="N164" i="16"/>
  <c r="N163" i="16"/>
  <c r="N162" i="16"/>
  <c r="N161" i="16"/>
  <c r="N160" i="16"/>
  <c r="N159" i="16"/>
  <c r="N158" i="16"/>
  <c r="N157" i="16"/>
  <c r="N156" i="16"/>
  <c r="N155" i="16"/>
  <c r="N154" i="16"/>
  <c r="N153" i="16"/>
  <c r="N152" i="16"/>
  <c r="N151" i="16"/>
  <c r="N150" i="16"/>
  <c r="N149" i="16"/>
  <c r="N148" i="16"/>
  <c r="N147" i="16"/>
  <c r="N146" i="16"/>
  <c r="N145" i="16"/>
  <c r="N144" i="16"/>
  <c r="N143" i="16"/>
  <c r="N142" i="16"/>
  <c r="N141" i="16"/>
  <c r="N140" i="16"/>
  <c r="N139" i="16"/>
  <c r="N138" i="16"/>
  <c r="N137" i="16"/>
  <c r="N136" i="16"/>
  <c r="N135" i="16"/>
  <c r="N134" i="16"/>
  <c r="N133" i="16"/>
  <c r="N132" i="16"/>
  <c r="N131" i="16"/>
  <c r="N130" i="16"/>
  <c r="N129" i="16"/>
  <c r="N128" i="16"/>
  <c r="N127" i="16"/>
  <c r="N126" i="16"/>
  <c r="N125" i="16"/>
  <c r="N124" i="16"/>
  <c r="N123" i="16"/>
  <c r="N122" i="16"/>
  <c r="N121" i="16"/>
  <c r="N120" i="16"/>
  <c r="N119" i="16"/>
  <c r="N118" i="16"/>
  <c r="N117" i="16"/>
  <c r="N116" i="16"/>
  <c r="N115" i="16"/>
  <c r="N114" i="16"/>
  <c r="N113" i="16"/>
  <c r="N112" i="16"/>
  <c r="N111" i="16"/>
  <c r="N110" i="16"/>
  <c r="N109" i="16"/>
  <c r="N108" i="16"/>
  <c r="N107" i="16"/>
  <c r="N106" i="16"/>
  <c r="N105" i="16"/>
  <c r="N104" i="16"/>
  <c r="N103" i="16"/>
  <c r="N102" i="16"/>
  <c r="N101" i="16"/>
  <c r="N100" i="16"/>
  <c r="N99" i="16"/>
  <c r="N98" i="16"/>
  <c r="N97" i="16"/>
  <c r="N96" i="16"/>
  <c r="N95" i="16"/>
  <c r="N94" i="16"/>
  <c r="N93" i="16"/>
  <c r="N92" i="16"/>
  <c r="N91" i="16"/>
  <c r="N90" i="16"/>
  <c r="N89" i="16"/>
  <c r="N88" i="16"/>
  <c r="N87" i="16"/>
  <c r="N86" i="16"/>
  <c r="N85" i="16"/>
  <c r="N84" i="16"/>
  <c r="N83" i="16"/>
  <c r="N82" i="16"/>
  <c r="N81" i="16"/>
  <c r="N80" i="16"/>
  <c r="N79" i="16"/>
  <c r="N78" i="16"/>
  <c r="N77" i="16"/>
  <c r="N76" i="16"/>
  <c r="N75" i="16"/>
  <c r="N74" i="16"/>
  <c r="N73" i="16"/>
  <c r="N72" i="16"/>
  <c r="N71" i="16"/>
  <c r="N70" i="16"/>
  <c r="N69" i="16"/>
  <c r="N68" i="16"/>
  <c r="N67" i="16"/>
  <c r="N66" i="16"/>
  <c r="N65" i="16"/>
  <c r="N64" i="16"/>
  <c r="N63" i="16"/>
  <c r="N62" i="16"/>
  <c r="N61" i="16"/>
  <c r="N60" i="16"/>
  <c r="N59" i="16"/>
  <c r="N58" i="16"/>
  <c r="N57" i="16"/>
  <c r="N56" i="16"/>
  <c r="N55" i="16"/>
  <c r="N54" i="16"/>
  <c r="N53" i="16"/>
  <c r="N52" i="16"/>
  <c r="N51" i="16"/>
  <c r="N50" i="16"/>
  <c r="N49" i="16"/>
  <c r="N48" i="16"/>
  <c r="N47" i="16"/>
  <c r="N46" i="16"/>
  <c r="N45" i="16"/>
  <c r="N44" i="16"/>
  <c r="N43" i="16"/>
  <c r="N42" i="16"/>
  <c r="N41" i="16"/>
  <c r="N40" i="16"/>
  <c r="N39" i="16"/>
  <c r="N38" i="16"/>
  <c r="N37" i="16"/>
  <c r="N36" i="16"/>
  <c r="N35" i="16"/>
  <c r="N34" i="16"/>
  <c r="N33" i="16"/>
  <c r="N32" i="16"/>
  <c r="N31" i="16"/>
  <c r="N30" i="16"/>
  <c r="N29" i="16"/>
  <c r="N28" i="16"/>
  <c r="N27" i="16"/>
  <c r="N26" i="16"/>
  <c r="N25" i="16"/>
  <c r="N24" i="16"/>
  <c r="N23" i="16"/>
  <c r="N22" i="16"/>
  <c r="N21" i="16"/>
  <c r="N20" i="16"/>
  <c r="N19" i="16"/>
  <c r="N18" i="16"/>
  <c r="N17" i="16"/>
  <c r="N16" i="16"/>
  <c r="N15" i="16"/>
  <c r="N14" i="16"/>
  <c r="N13" i="16"/>
  <c r="N12" i="16"/>
  <c r="N11" i="16"/>
  <c r="N10" i="16"/>
  <c r="N9" i="16"/>
  <c r="N8" i="16"/>
  <c r="N7" i="16"/>
  <c r="N6" i="16"/>
  <c r="D43" i="11"/>
  <c r="D27" i="11"/>
  <c r="I25" i="11"/>
  <c r="I24" i="11"/>
  <c r="I15" i="11"/>
  <c r="I16" i="11" s="1"/>
  <c r="I9" i="11"/>
  <c r="I11" i="11" s="1"/>
  <c r="C95" i="23"/>
  <c r="C81" i="23"/>
  <c r="C62" i="23"/>
  <c r="C46" i="23"/>
  <c r="C31" i="23"/>
  <c r="K216" i="10"/>
  <c r="J216" i="10"/>
  <c r="K205" i="10"/>
  <c r="K208" i="10" s="1"/>
  <c r="J205" i="10"/>
  <c r="K200" i="10"/>
  <c r="J200" i="10"/>
  <c r="K194" i="10"/>
  <c r="N11" i="21" s="1"/>
  <c r="J194" i="10"/>
  <c r="K188" i="10"/>
  <c r="J188" i="10"/>
  <c r="K184" i="10"/>
  <c r="N10" i="21" s="1"/>
  <c r="J184" i="10"/>
  <c r="J176" i="10"/>
  <c r="K171" i="10"/>
  <c r="J171" i="10"/>
  <c r="K168" i="10"/>
  <c r="J168" i="10"/>
  <c r="K160" i="10"/>
  <c r="J160" i="10"/>
  <c r="K140" i="10"/>
  <c r="K141" i="10" s="1"/>
  <c r="J140" i="10"/>
  <c r="K127" i="10"/>
  <c r="J127" i="10"/>
  <c r="K123" i="10"/>
  <c r="J123" i="10"/>
  <c r="K119" i="10"/>
  <c r="J119" i="10"/>
  <c r="K113" i="10"/>
  <c r="J113" i="10"/>
  <c r="K108" i="10"/>
  <c r="J108" i="10"/>
  <c r="K105" i="10"/>
  <c r="K91" i="10"/>
  <c r="J91" i="10"/>
  <c r="K78" i="10"/>
  <c r="J78" i="10"/>
  <c r="K74" i="10"/>
  <c r="J74" i="10"/>
  <c r="K69" i="10"/>
  <c r="J69" i="10"/>
  <c r="K64" i="10"/>
  <c r="J64" i="10"/>
  <c r="K58" i="10"/>
  <c r="J58" i="10"/>
  <c r="K50" i="10"/>
  <c r="J50" i="10"/>
  <c r="K43" i="10"/>
  <c r="J43" i="10"/>
  <c r="K36" i="10"/>
  <c r="J36" i="10"/>
  <c r="J32" i="10"/>
  <c r="J25" i="10"/>
  <c r="K15" i="10"/>
  <c r="J15" i="10"/>
  <c r="K4" i="10"/>
  <c r="J4" i="10"/>
  <c r="M3" i="10"/>
  <c r="J1" i="10"/>
  <c r="I32" i="17"/>
  <c r="B22" i="17"/>
  <c r="D20" i="17"/>
  <c r="I16" i="17"/>
  <c r="H16" i="17"/>
  <c r="E12" i="17"/>
  <c r="E17" i="17" s="1"/>
  <c r="B6" i="17"/>
  <c r="B8" i="17" s="1"/>
  <c r="B10" i="17" s="1"/>
  <c r="N226" i="16" l="1"/>
  <c r="N1" i="16" s="1"/>
  <c r="I8" i="19"/>
  <c r="I25" i="19" s="1"/>
  <c r="G25" i="19"/>
  <c r="M108" i="10"/>
  <c r="L108" i="10"/>
  <c r="L119" i="10"/>
  <c r="M119" i="10"/>
  <c r="M160" i="10"/>
  <c r="L160" i="10"/>
  <c r="M171" i="10"/>
  <c r="L171" i="10"/>
  <c r="M36" i="10"/>
  <c r="L36" i="10"/>
  <c r="M64" i="10"/>
  <c r="L64" i="10"/>
  <c r="M200" i="10"/>
  <c r="L200" i="10"/>
  <c r="M113" i="10"/>
  <c r="L113" i="10"/>
  <c r="M123" i="10"/>
  <c r="L123" i="10"/>
  <c r="J141" i="10"/>
  <c r="M140" i="10"/>
  <c r="L140" i="10"/>
  <c r="M168" i="10"/>
  <c r="L168" i="10"/>
  <c r="M127" i="10"/>
  <c r="L127" i="10"/>
  <c r="L15" i="10"/>
  <c r="M15" i="10"/>
  <c r="M50" i="10"/>
  <c r="L50" i="10"/>
  <c r="M74" i="10"/>
  <c r="L74" i="10"/>
  <c r="M91" i="10"/>
  <c r="L91" i="10"/>
  <c r="M188" i="10"/>
  <c r="L188" i="10"/>
  <c r="M216" i="10"/>
  <c r="L216" i="10"/>
  <c r="L25" i="10"/>
  <c r="M25" i="10"/>
  <c r="L43" i="10"/>
  <c r="M43" i="10"/>
  <c r="L58" i="10"/>
  <c r="M58" i="10"/>
  <c r="M69" i="10"/>
  <c r="L69" i="10"/>
  <c r="L78" i="10"/>
  <c r="M78" i="10"/>
  <c r="M184" i="10"/>
  <c r="L184" i="10"/>
  <c r="M194" i="10"/>
  <c r="L194" i="10"/>
  <c r="J208" i="10"/>
  <c r="L205" i="10"/>
  <c r="M205" i="10"/>
  <c r="M32" i="10"/>
  <c r="L32" i="10"/>
  <c r="B28" i="17"/>
  <c r="K176" i="10"/>
  <c r="K218" i="10" s="1"/>
  <c r="K220" i="10" s="1"/>
  <c r="Q218" i="10"/>
  <c r="Q1" i="10" s="1"/>
  <c r="N9" i="21"/>
  <c r="N6" i="21"/>
  <c r="N5" i="21"/>
  <c r="N14" i="21"/>
  <c r="N12" i="21"/>
  <c r="L176" i="10" l="1"/>
  <c r="M176" i="10"/>
  <c r="L164" i="10"/>
  <c r="L141" i="10"/>
  <c r="M141" i="10"/>
  <c r="L208" i="10"/>
  <c r="M208" i="10"/>
  <c r="N7" i="21"/>
  <c r="N16" i="21" s="1"/>
  <c r="O5" i="21" s="1"/>
  <c r="E20" i="17"/>
  <c r="E28" i="17" s="1"/>
  <c r="E31" i="17" s="1"/>
  <c r="O14" i="21" l="1"/>
  <c r="O6" i="21"/>
  <c r="O9" i="21"/>
  <c r="O11" i="21"/>
  <c r="O12" i="21"/>
  <c r="M19" i="21"/>
  <c r="O7" i="21"/>
  <c r="O8" i="21"/>
  <c r="O10" i="21"/>
  <c r="O13" i="21"/>
  <c r="J105" i="10" s="1"/>
  <c r="J218" i="10" s="1"/>
  <c r="J220" i="10" s="1"/>
  <c r="L218" i="10" l="1"/>
  <c r="L105" i="10"/>
  <c r="M105" i="10"/>
  <c r="M218" i="10" l="1"/>
</calcChain>
</file>

<file path=xl/comments1.xml><?xml version="1.0" encoding="utf-8"?>
<comments xmlns="http://schemas.openxmlformats.org/spreadsheetml/2006/main">
  <authors>
    <author>Lainson, Roy</author>
    <author>Roy Lainson</author>
  </authors>
  <commentList>
    <comment ref="E6" authorId="0">
      <text>
        <r>
          <rPr>
            <sz val="9"/>
            <color indexed="81"/>
            <rFont val="Tahoma"/>
            <family val="2"/>
          </rPr>
          <t>FY18 was 480
FY19 Gov Budget = 493</t>
        </r>
      </text>
    </comment>
    <comment ref="A7" authorId="0">
      <text>
        <r>
          <rPr>
            <sz val="9"/>
            <color indexed="81"/>
            <rFont val="Tahoma"/>
            <family val="2"/>
          </rPr>
          <t>Assessors usually provide this amount in January.</t>
        </r>
      </text>
    </comment>
    <comment ref="E7" authorId="0">
      <text>
        <r>
          <rPr>
            <sz val="9"/>
            <color indexed="81"/>
            <rFont val="Tahoma"/>
            <family val="2"/>
          </rPr>
          <t>FY18 was 3,760
FY19 Gov Budget = 3,760</t>
        </r>
      </text>
    </comment>
    <comment ref="G7" authorId="0">
      <text>
        <r>
          <rPr>
            <sz val="9"/>
            <color indexed="81"/>
            <rFont val="Tahoma"/>
            <family val="2"/>
          </rPr>
          <t>Prior to the ATM</t>
        </r>
      </text>
    </comment>
    <comment ref="E8" authorId="0">
      <text>
        <r>
          <rPr>
            <sz val="9"/>
            <color indexed="81"/>
            <rFont val="Tahoma"/>
            <family val="2"/>
          </rPr>
          <t>FY18 was 1,487
FY19 Gov Budget = 1,431</t>
        </r>
      </text>
    </comment>
    <comment ref="E9" authorId="1">
      <text>
        <r>
          <rPr>
            <sz val="9"/>
            <color indexed="81"/>
            <rFont val="Tahoma"/>
            <family val="2"/>
          </rPr>
          <t>FY14 = $13,543
FY15 Gov budget = $0
Per Lisa Juszkiewicz at DOR, the last year for this was FY14.</t>
        </r>
      </text>
    </comment>
    <comment ref="E10" authorId="0">
      <text>
        <r>
          <rPr>
            <sz val="9"/>
            <color indexed="81"/>
            <rFont val="Tahoma"/>
            <family val="2"/>
          </rPr>
          <t>FY18 was 67,587
FY19 Gov Budget = 63,802
Note: FY13 was 132,902
School Choice overestimated over the highest amount in recent history (133k) for FY19 for purposes of balancing the Outline and also for unknown expenses relating to the OSV Charter School.</t>
        </r>
      </text>
    </comment>
    <comment ref="E11" authorId="0">
      <text>
        <r>
          <rPr>
            <sz val="9"/>
            <color indexed="81"/>
            <rFont val="Tahoma"/>
            <family val="2"/>
          </rPr>
          <t>FY18 was 25,416
FY19 Gov Budget = 31,150
Notified by Deb Boyd that 2 Wales students accepted to OSV Charter. She estimates an additional $6,350 expense.
(184,844 + 6,350 = 191,194)</t>
        </r>
      </text>
    </comment>
    <comment ref="A12" authorId="0">
      <text>
        <r>
          <rPr>
            <sz val="9"/>
            <color indexed="81"/>
            <rFont val="Tahoma"/>
            <family val="2"/>
          </rPr>
          <t>Number usually provided by Accountant in early March.</t>
        </r>
      </text>
    </comment>
    <comment ref="B12" authorId="1">
      <text>
        <r>
          <rPr>
            <sz val="9"/>
            <color indexed="81"/>
            <rFont val="Tahoma"/>
            <family val="2"/>
          </rPr>
          <t xml:space="preserve">Estimated downward to achieve balanced budget and to accommodate unknown deficits which will need to be covered at year-end.
</t>
        </r>
      </text>
    </comment>
    <comment ref="B13" authorId="1">
      <text>
        <r>
          <rPr>
            <b/>
            <sz val="9"/>
            <color indexed="81"/>
            <rFont val="Tahoma"/>
            <family val="2"/>
          </rPr>
          <t>TRSD Debt Schedule:</t>
        </r>
        <r>
          <rPr>
            <sz val="9"/>
            <color indexed="81"/>
            <rFont val="Tahoma"/>
            <family val="2"/>
          </rPr>
          <t xml:space="preserve">
Debt payments ended FY16; Start getting money back in FY17:
FY17: 680
FY18: 17,748
FY19: 26,353
FY20: 37,419
FY21: 66,394
</t>
        </r>
      </text>
    </comment>
    <comment ref="E14" authorId="0">
      <text>
        <r>
          <rPr>
            <sz val="9"/>
            <color indexed="81"/>
            <rFont val="Tahoma"/>
            <family val="2"/>
          </rPr>
          <t>Accountant confirmed in March 2018 that the $40k should be used again for FY19 budget.</t>
        </r>
      </text>
    </comment>
    <comment ref="E15" authorId="0">
      <text>
        <r>
          <rPr>
            <sz val="9"/>
            <color indexed="81"/>
            <rFont val="Tahoma"/>
            <family val="2"/>
          </rPr>
          <t>As of early April 2018, known deficit was 37,085 + an additional estimate amount of $20,000</t>
        </r>
      </text>
    </comment>
    <comment ref="B16" authorId="0">
      <text>
        <r>
          <rPr>
            <sz val="9"/>
            <color indexed="81"/>
            <rFont val="Tahoma"/>
            <family val="2"/>
          </rPr>
          <t>FY18 was 985,373
FY19 Gov Budget = 988,473</t>
        </r>
        <r>
          <rPr>
            <b/>
            <sz val="9"/>
            <color indexed="81"/>
            <rFont val="Tahoma"/>
            <family val="2"/>
          </rPr>
          <t xml:space="preserve">
</t>
        </r>
      </text>
    </comment>
    <comment ref="B17" authorId="0">
      <text>
        <r>
          <rPr>
            <sz val="9"/>
            <color indexed="81"/>
            <rFont val="Tahoma"/>
            <family val="2"/>
          </rPr>
          <t>FY18 was 235,962
FY19 Gov Budget = 244,221</t>
        </r>
      </text>
    </comment>
    <comment ref="B18" authorId="0">
      <text>
        <r>
          <rPr>
            <sz val="9"/>
            <color indexed="81"/>
            <rFont val="Tahoma"/>
            <family val="2"/>
          </rPr>
          <t>FY18 was 24,380
FY19 Gov Budget = 11,421</t>
        </r>
      </text>
    </comment>
    <comment ref="B19" authorId="0">
      <text>
        <r>
          <rPr>
            <sz val="9"/>
            <color indexed="81"/>
            <rFont val="Tahoma"/>
            <family val="2"/>
          </rPr>
          <t>FY18 was 12,037
FY19 Gov Budget = 12,360</t>
        </r>
      </text>
    </comment>
    <comment ref="B20" authorId="0">
      <text>
        <r>
          <rPr>
            <sz val="9"/>
            <color indexed="81"/>
            <rFont val="Tahoma"/>
            <family val="2"/>
          </rPr>
          <t>FY18 was 40,307
FY19 Gov Budget = 39,126</t>
        </r>
      </text>
    </comment>
    <comment ref="D20" authorId="0">
      <text>
        <r>
          <rPr>
            <b/>
            <sz val="9"/>
            <color indexed="81"/>
            <rFont val="Tahoma"/>
            <family val="2"/>
          </rPr>
          <t>Lainson, Roy:</t>
        </r>
        <r>
          <rPr>
            <sz val="9"/>
            <color indexed="81"/>
            <rFont val="Tahoma"/>
            <family val="2"/>
          </rPr>
          <t xml:space="preserve">
See Budget Details tab, Cell Q3 to switch to either the Requested or Proposed Total amount.</t>
        </r>
      </text>
    </comment>
    <comment ref="G20" authorId="0">
      <text>
        <r>
          <rPr>
            <b/>
            <sz val="9"/>
            <color indexed="81"/>
            <rFont val="Tahoma"/>
            <family val="2"/>
          </rPr>
          <t xml:space="preserve">FinCom:
</t>
        </r>
        <r>
          <rPr>
            <sz val="9"/>
            <color indexed="81"/>
            <rFont val="Tahoma"/>
            <family val="2"/>
          </rPr>
          <t>Use whole dollar values, rounded up if necessary.</t>
        </r>
      </text>
    </comment>
    <comment ref="B21" authorId="0">
      <text>
        <r>
          <rPr>
            <sz val="9"/>
            <color indexed="81"/>
            <rFont val="Tahoma"/>
            <family val="2"/>
          </rPr>
          <t>FY18 was 17,461
FY19 Gov Budget = 3,612</t>
        </r>
      </text>
    </comment>
    <comment ref="A25" authorId="0">
      <text>
        <r>
          <rPr>
            <sz val="9"/>
            <color indexed="81"/>
            <rFont val="Tahoma"/>
            <family val="2"/>
          </rPr>
          <t>Number usually provided by Accountant in early March.</t>
        </r>
      </text>
    </comment>
    <comment ref="H25" authorId="0">
      <text>
        <r>
          <rPr>
            <sz val="9"/>
            <color indexed="81"/>
            <rFont val="Tahoma"/>
            <family val="2"/>
          </rPr>
          <t>Total needed is approx. $10,000 every 5 years. Next inspection is FY18.</t>
        </r>
      </text>
    </comment>
    <comment ref="H26" authorId="0">
      <text>
        <r>
          <rPr>
            <sz val="9"/>
            <color indexed="81"/>
            <rFont val="Tahoma"/>
            <family val="2"/>
          </rPr>
          <t xml:space="preserve">Current estimate of tri-annual reval is $7,000. $500 will be provided annually in BOA budget. $2167 = 6,500/3. 3-Year Revals in FY17, FY20, FY23... 10Year Revals in FY16, FY26
Fy 16 - Budget: $4,125 + $500 / Article: $2167
Fy 17 - Budget: $4,125 / Article: $2167
Fy 18 - Budget: $500 / Article: $2167
Fy 19 - Budget: $500 / Article: $2167
FY 20 - Budget: $7,000 / Article: $2167
 </t>
        </r>
      </text>
    </comment>
    <comment ref="H27" authorId="0">
      <text>
        <r>
          <rPr>
            <sz val="9"/>
            <color indexed="81"/>
            <rFont val="Tahoma"/>
            <family val="2"/>
          </rPr>
          <t>Total needed is approx. $12,000 every three years. As of 3/2015 enough money is already set aside for an audit in FY16. No article needed in the 2015 ATM warrant, but will start again for the 2016 ATM warrrant.</t>
        </r>
      </text>
    </comment>
  </commentList>
</comments>
</file>

<file path=xl/comments2.xml><?xml version="1.0" encoding="utf-8"?>
<comments xmlns="http://schemas.openxmlformats.org/spreadsheetml/2006/main">
  <authors>
    <author>Roy Lainson</author>
    <author>Lainson, Roy</author>
    <author>rlainson</author>
    <author>Wales Finance</author>
  </authors>
  <commentList>
    <comment ref="S3" authorId="0">
      <text>
        <r>
          <rPr>
            <b/>
            <sz val="9"/>
            <color indexed="81"/>
            <rFont val="Tahoma"/>
            <family val="2"/>
          </rPr>
          <t>Variance Switch</t>
        </r>
        <r>
          <rPr>
            <sz val="9"/>
            <color indexed="81"/>
            <rFont val="Tahoma"/>
            <family val="2"/>
          </rPr>
          <t xml:space="preserve">
Do not delete. This corresponds to the Compare feature in columns I and J. </t>
        </r>
      </text>
    </comment>
    <comment ref="J18" authorId="1">
      <text>
        <r>
          <rPr>
            <sz val="9"/>
            <color indexed="81"/>
            <rFont val="Tahoma"/>
            <family val="2"/>
          </rPr>
          <t>BOS request to increase hours from 25 to 32 per week</t>
        </r>
      </text>
    </comment>
    <comment ref="I21" authorId="1">
      <text>
        <r>
          <rPr>
            <sz val="9"/>
            <color indexed="81"/>
            <rFont val="Tahoma"/>
            <family val="2"/>
          </rPr>
          <t>Includes Other IT Expense of $5,300 + Website Annual Maint. of $4,250 + Initial Design Fee of $1,925 spread over first 4 years (FY18-21).</t>
        </r>
      </text>
    </comment>
    <comment ref="J21" authorId="1">
      <text>
        <r>
          <rPr>
            <sz val="9"/>
            <color indexed="81"/>
            <rFont val="Tahoma"/>
            <family val="2"/>
          </rPr>
          <t>Includes Other IT Expense of $5,300 + Website Annual Maint. of $4,250 + Initial Design Fee of $1,925 spread over first 4 years (FY18-21).</t>
        </r>
      </text>
    </comment>
    <comment ref="K21" authorId="1">
      <text>
        <r>
          <rPr>
            <sz val="9"/>
            <color indexed="81"/>
            <rFont val="Tahoma"/>
            <family val="2"/>
          </rPr>
          <t>Includes Other IT Expense of $5,300 + Website Annual Maint. of $4,250 + Initial Design Fee of $1,925 spread over first 4 years (FY18-21).</t>
        </r>
      </text>
    </comment>
    <comment ref="I30" authorId="1">
      <text>
        <r>
          <rPr>
            <sz val="9"/>
            <color indexed="81"/>
            <rFont val="Tahoma"/>
            <family val="2"/>
          </rPr>
          <t>$3,000 increase for 2 Vital Records Preservation books. To be reduced back to $4,500 in FY19 unless additional books need to be refurbished.</t>
        </r>
      </text>
    </comment>
    <comment ref="B48" authorId="1">
      <text>
        <r>
          <rPr>
            <b/>
            <sz val="9"/>
            <color indexed="81"/>
            <rFont val="Tahoma"/>
            <family val="2"/>
          </rPr>
          <t xml:space="preserve">Reval Schedule:
</t>
        </r>
        <r>
          <rPr>
            <sz val="9"/>
            <color indexed="81"/>
            <rFont val="Tahoma"/>
            <family val="2"/>
          </rPr>
          <t>FY14: 3yr reval
FY15: 10yr cyclical reval. ($4,125 budgeted. $2,167 article)
FY16: Annual basic reval. ($4,625 budgeted. $2,167 article)
FY17: 3yr reval ($500 budgeted. $2,167 article)
FY18: Annual basic reval ($500 budgeted. $2,167 article)
FY19: Annual basic reval ($500 budgeted. $2,167 article)
FY20: 3yr revall ($500 budgeted. $2,167 article)
EVERY year, fund $500 to fund the annual reval. The tri-annual reval funded each year for 2167 on the warrant and set aside until the third year. In the third year, the tri-annual reval cost 7,000 (2167 x 3 + 500)</t>
        </r>
      </text>
    </comment>
    <comment ref="I48" authorId="1">
      <text>
        <r>
          <rPr>
            <b/>
            <sz val="9"/>
            <color indexed="81"/>
            <rFont val="Tahoma"/>
            <family val="2"/>
          </rPr>
          <t>Lainson, Roy:</t>
        </r>
        <r>
          <rPr>
            <sz val="9"/>
            <color indexed="81"/>
            <rFont val="Tahoma"/>
            <family val="2"/>
          </rPr>
          <t xml:space="preserve">
A Cyclical Reval is required every 10 years and can be spread out over 2 years. Cost is approx $8,250. Cost will be $4,125 in FY16 and then $4125 + $500 in FY17, then back to $500 in FY18+</t>
        </r>
      </text>
    </comment>
    <comment ref="I49" authorId="1">
      <text>
        <r>
          <rPr>
            <sz val="9"/>
            <color indexed="81"/>
            <rFont val="Tahoma"/>
            <family val="2"/>
          </rPr>
          <t>Increase mostly includes an increase to the Vision software expense increase.</t>
        </r>
      </text>
    </comment>
    <comment ref="B54" authorId="2">
      <text>
        <r>
          <rPr>
            <b/>
            <sz val="8"/>
            <color indexed="81"/>
            <rFont val="Tahoma"/>
            <family val="2"/>
          </rPr>
          <t xml:space="preserve">FinCom: </t>
        </r>
        <r>
          <rPr>
            <sz val="8"/>
            <color indexed="81"/>
            <rFont val="Tahoma"/>
            <family val="2"/>
          </rPr>
          <t>stipend reimbursement is required by MGL</t>
        </r>
      </text>
    </comment>
    <comment ref="J57" authorId="1">
      <text>
        <r>
          <rPr>
            <sz val="9"/>
            <color indexed="81"/>
            <rFont val="Tahoma"/>
            <family val="2"/>
          </rPr>
          <t>$499 requested for a laser color printer
Finance Committee recommends printer be paid for using the IT expense account instead.</t>
        </r>
        <r>
          <rPr>
            <b/>
            <sz val="9"/>
            <color indexed="81"/>
            <rFont val="Tahoma"/>
            <family val="2"/>
          </rPr>
          <t xml:space="preserve">
</t>
        </r>
      </text>
    </comment>
    <comment ref="B61" authorId="1">
      <text>
        <r>
          <rPr>
            <sz val="9"/>
            <color indexed="81"/>
            <rFont val="Tahoma"/>
            <family val="2"/>
          </rPr>
          <t>$11/hr, 7 hrs / week</t>
        </r>
      </text>
    </comment>
    <comment ref="B63" authorId="2">
      <text>
        <r>
          <rPr>
            <b/>
            <sz val="8"/>
            <color indexed="81"/>
            <rFont val="Tahoma"/>
            <family val="2"/>
          </rPr>
          <t xml:space="preserve">FinCom: </t>
        </r>
        <r>
          <rPr>
            <sz val="8"/>
            <color indexed="81"/>
            <rFont val="Tahoma"/>
            <family val="2"/>
          </rPr>
          <t>stipend reimbursement is required by MGL</t>
        </r>
      </text>
    </comment>
    <comment ref="F68" authorId="0">
      <text>
        <r>
          <rPr>
            <sz val="9"/>
            <color indexed="81"/>
            <rFont val="Tahoma"/>
            <family val="2"/>
          </rPr>
          <t>New books = 0
- MACC Classes ($125 x 4members x 2class/year)  = 1,000 when reduced to 1class/year
- Travel exp to class = 50
- MACC dues = 200
- Postage = 100
- Supplies = 50</t>
        </r>
      </text>
    </comment>
    <comment ref="G73" authorId="1">
      <text>
        <r>
          <rPr>
            <b/>
            <sz val="9"/>
            <color indexed="81"/>
            <rFont val="Tahoma"/>
            <family val="2"/>
          </rPr>
          <t>Lainson, Roy:</t>
        </r>
        <r>
          <rPr>
            <sz val="9"/>
            <color indexed="81"/>
            <rFont val="Tahoma"/>
            <family val="2"/>
          </rPr>
          <t xml:space="preserve">
No new line item, however Expense line increased $250 for purposes of Legal Advice</t>
        </r>
      </text>
    </comment>
    <comment ref="I73" authorId="1">
      <text>
        <r>
          <rPr>
            <b/>
            <sz val="9"/>
            <color indexed="81"/>
            <rFont val="Tahoma"/>
            <family val="2"/>
          </rPr>
          <t>PB Expense breakout</t>
        </r>
        <r>
          <rPr>
            <sz val="9"/>
            <color indexed="81"/>
            <rFont val="Tahoma"/>
            <family val="2"/>
          </rPr>
          <t xml:space="preserve">
Legal Advice: $850
Other: $150</t>
        </r>
      </text>
    </comment>
    <comment ref="I90" authorId="1">
      <text>
        <r>
          <rPr>
            <sz val="9"/>
            <color indexed="81"/>
            <rFont val="Tahoma"/>
            <family val="2"/>
          </rPr>
          <t>The extra amount for computer aided dispatch should be a decreasing amount in FY19 and later.</t>
        </r>
      </text>
    </comment>
    <comment ref="J90" authorId="1">
      <text>
        <r>
          <rPr>
            <sz val="9"/>
            <color indexed="81"/>
            <rFont val="Tahoma"/>
            <family val="2"/>
          </rPr>
          <t>The extra amount for computer aided dispatch should be a decreasing amount in FY19 and later.</t>
        </r>
      </text>
    </comment>
    <comment ref="K90" authorId="1">
      <text>
        <r>
          <rPr>
            <sz val="9"/>
            <color indexed="81"/>
            <rFont val="Tahoma"/>
            <family val="2"/>
          </rPr>
          <t>The extra amount for computer aided dispatch should be a decreasing amount in FY19 and later.</t>
        </r>
      </text>
    </comment>
    <comment ref="I104" authorId="1">
      <text>
        <r>
          <rPr>
            <sz val="9"/>
            <color indexed="81"/>
            <rFont val="Tahoma"/>
            <family val="2"/>
          </rPr>
          <t>New line added in FY18 to fund 3 new sets at $2,300 a piece. Amounts to 30 new sets over a 10 year period. Represents an on-going expense to replacee 3 new sets of gear per year.</t>
        </r>
      </text>
    </comment>
    <comment ref="B116" authorId="1">
      <text>
        <r>
          <rPr>
            <b/>
            <sz val="9"/>
            <color indexed="81"/>
            <rFont val="Tahoma"/>
            <family val="2"/>
          </rPr>
          <t>Lainson, Roy:</t>
        </r>
        <r>
          <rPr>
            <sz val="9"/>
            <color indexed="81"/>
            <rFont val="Tahoma"/>
            <family val="2"/>
          </rPr>
          <t xml:space="preserve">
Stipend to Animal Inspector not the ACO</t>
        </r>
      </text>
    </comment>
    <comment ref="B132" authorId="1">
      <text>
        <r>
          <rPr>
            <b/>
            <sz val="9"/>
            <color indexed="81"/>
            <rFont val="Tahoma"/>
            <family val="2"/>
          </rPr>
          <t>Lainson, Roy:</t>
        </r>
        <r>
          <rPr>
            <sz val="9"/>
            <color indexed="81"/>
            <rFont val="Tahoma"/>
            <family val="2"/>
          </rPr>
          <t xml:space="preserve">
Beginning with FY15, FinCom agreed to gradually decrease this line by $5k down to zero. In return, the expection is that WES uses School Choice funds to fund major items (boiler, water tanks, roofs, etc…)</t>
        </r>
      </text>
    </comment>
    <comment ref="F135" authorId="1">
      <text>
        <r>
          <rPr>
            <b/>
            <sz val="9"/>
            <color indexed="81"/>
            <rFont val="Tahoma"/>
            <family val="2"/>
          </rPr>
          <t>Lainson, Roy:</t>
        </r>
        <r>
          <rPr>
            <sz val="9"/>
            <color indexed="81"/>
            <rFont val="Tahoma"/>
            <family val="2"/>
          </rPr>
          <t xml:space="preserve">
Wales share = 7.09%</t>
        </r>
      </text>
    </comment>
    <comment ref="G135" authorId="1">
      <text>
        <r>
          <rPr>
            <b/>
            <sz val="9"/>
            <color indexed="81"/>
            <rFont val="Tahoma"/>
            <family val="2"/>
          </rPr>
          <t>Lainson, Roy:</t>
        </r>
        <r>
          <rPr>
            <sz val="9"/>
            <color indexed="81"/>
            <rFont val="Tahoma"/>
            <family val="2"/>
          </rPr>
          <t xml:space="preserve">
Wales share = 7.22%</t>
        </r>
      </text>
    </comment>
    <comment ref="H135" authorId="1">
      <text>
        <r>
          <rPr>
            <b/>
            <sz val="9"/>
            <color indexed="81"/>
            <rFont val="Tahoma"/>
            <family val="2"/>
          </rPr>
          <t>Lainson, Roy:</t>
        </r>
        <r>
          <rPr>
            <sz val="9"/>
            <color indexed="81"/>
            <rFont val="Tahoma"/>
            <family val="2"/>
          </rPr>
          <t xml:space="preserve">
Wales share = TBD%</t>
        </r>
      </text>
    </comment>
    <comment ref="I135" authorId="1">
      <text>
        <r>
          <rPr>
            <sz val="9"/>
            <color indexed="81"/>
            <rFont val="Tahoma"/>
            <family val="2"/>
          </rPr>
          <t>Wales percent of the total TRSD budget: 8.05%</t>
        </r>
      </text>
    </comment>
    <comment ref="K135" authorId="1">
      <text>
        <r>
          <rPr>
            <sz val="9"/>
            <color indexed="81"/>
            <rFont val="Tahoma"/>
            <family val="2"/>
          </rPr>
          <t>Wales percent of the total TRSD budget: 7.35%</t>
        </r>
      </text>
    </comment>
    <comment ref="B136" authorId="0">
      <text>
        <r>
          <rPr>
            <b/>
            <sz val="9"/>
            <color indexed="81"/>
            <rFont val="Tahoma"/>
            <family val="2"/>
          </rPr>
          <t>TRSD Debt Schedule:</t>
        </r>
        <r>
          <rPr>
            <sz val="9"/>
            <color indexed="81"/>
            <rFont val="Tahoma"/>
            <family val="2"/>
          </rPr>
          <t xml:space="preserve">
FY13: 46,020 
FY14: 31,212 
FY15: 17,840 
FY16: 7,891 
</t>
        </r>
        <r>
          <rPr>
            <b/>
            <sz val="9"/>
            <color indexed="81"/>
            <rFont val="Tahoma"/>
            <family val="2"/>
          </rPr>
          <t>Start getting $ back:</t>
        </r>
        <r>
          <rPr>
            <sz val="9"/>
            <color indexed="81"/>
            <rFont val="Tahoma"/>
            <family val="2"/>
          </rPr>
          <t xml:space="preserve">
FY17: (680)
FY18: (17,748)
FY19: (27,356)
FY20: (37,419)
FY21: (66,394)
</t>
        </r>
      </text>
    </comment>
    <comment ref="B144" authorId="1">
      <text>
        <r>
          <rPr>
            <b/>
            <sz val="9"/>
            <color indexed="81"/>
            <rFont val="Tahoma"/>
            <family val="2"/>
          </rPr>
          <t>Current Union Contract:</t>
        </r>
        <r>
          <rPr>
            <sz val="9"/>
            <color indexed="81"/>
            <rFont val="Tahoma"/>
            <family val="2"/>
          </rPr>
          <t xml:space="preserve">
FY16 = 2.0%
FY17 = 1.75%
FY18 = 1.75%</t>
        </r>
      </text>
    </comment>
    <comment ref="E144" authorId="1">
      <text>
        <r>
          <rPr>
            <b/>
            <sz val="9"/>
            <color indexed="81"/>
            <rFont val="Tahoma"/>
            <family val="2"/>
          </rPr>
          <t>Lainson, Roy:</t>
        </r>
        <r>
          <rPr>
            <sz val="9"/>
            <color indexed="81"/>
            <rFont val="Tahoma"/>
            <family val="2"/>
          </rPr>
          <t xml:space="preserve">
1.25% increase over FY13</t>
        </r>
      </text>
    </comment>
    <comment ref="F144" authorId="1">
      <text>
        <r>
          <rPr>
            <b/>
            <sz val="9"/>
            <color indexed="81"/>
            <rFont val="Tahoma"/>
            <family val="2"/>
          </rPr>
          <t>Lainson, Roy:</t>
        </r>
        <r>
          <rPr>
            <sz val="9"/>
            <color indexed="81"/>
            <rFont val="Tahoma"/>
            <family val="2"/>
          </rPr>
          <t xml:space="preserve">
1.25% increase over FY14</t>
        </r>
      </text>
    </comment>
    <comment ref="G144" authorId="1">
      <text>
        <r>
          <rPr>
            <b/>
            <sz val="9"/>
            <color indexed="81"/>
            <rFont val="Tahoma"/>
            <family val="2"/>
          </rPr>
          <t>Lainson, Roy:</t>
        </r>
        <r>
          <rPr>
            <sz val="9"/>
            <color indexed="81"/>
            <rFont val="Tahoma"/>
            <family val="2"/>
          </rPr>
          <t xml:space="preserve">
1.25% increase over FY14</t>
        </r>
      </text>
    </comment>
    <comment ref="I154" authorId="1">
      <text>
        <r>
          <rPr>
            <b/>
            <sz val="9"/>
            <color indexed="81"/>
            <rFont val="Tahoma"/>
            <family val="2"/>
          </rPr>
          <t>Lainson, Roy:</t>
        </r>
        <r>
          <rPr>
            <sz val="9"/>
            <color indexed="81"/>
            <rFont val="Tahoma"/>
            <family val="2"/>
          </rPr>
          <t xml:space="preserve">
Line increased $250 in FY18 for a printer. To be reduced back to $750 in FY19 as this is a one-time expense.</t>
        </r>
      </text>
    </comment>
    <comment ref="I157" authorId="1">
      <text>
        <r>
          <rPr>
            <b/>
            <sz val="9"/>
            <color indexed="81"/>
            <rFont val="Tahoma"/>
            <family val="2"/>
          </rPr>
          <t xml:space="preserve">Mechanic
</t>
        </r>
        <r>
          <rPr>
            <sz val="9"/>
            <color indexed="81"/>
            <rFont val="Tahoma"/>
            <family val="2"/>
          </rPr>
          <t>150 boots
150 clothes 
250 tools</t>
        </r>
        <r>
          <rPr>
            <b/>
            <sz val="9"/>
            <color indexed="81"/>
            <rFont val="Tahoma"/>
            <family val="2"/>
          </rPr>
          <t xml:space="preserve">
Driver/laborer
</t>
        </r>
        <r>
          <rPr>
            <sz val="9"/>
            <color indexed="81"/>
            <rFont val="Tahoma"/>
            <family val="2"/>
          </rPr>
          <t>150 clothes
150 boots</t>
        </r>
      </text>
    </comment>
    <comment ref="I167" authorId="1">
      <text>
        <r>
          <rPr>
            <sz val="9"/>
            <color indexed="81"/>
            <rFont val="Tahoma"/>
            <family val="2"/>
          </rPr>
          <t>In FY19, expense should return to $1,000 as the new road project is a one time expense.</t>
        </r>
      </text>
    </comment>
    <comment ref="B170" authorId="1">
      <text>
        <r>
          <rPr>
            <sz val="9"/>
            <color indexed="81"/>
            <rFont val="Tahoma"/>
            <family val="2"/>
          </rPr>
          <t>$3,000 in FY12 was a full Full cleaning (3,000) will most likely need for the next 5 yrs starting FY12.</t>
        </r>
      </text>
    </comment>
    <comment ref="F170" authorId="1">
      <text>
        <r>
          <rPr>
            <b/>
            <sz val="9"/>
            <color indexed="81"/>
            <rFont val="Tahoma"/>
            <family val="2"/>
          </rPr>
          <t>Lainson, Roy:</t>
        </r>
        <r>
          <rPr>
            <sz val="9"/>
            <color indexed="81"/>
            <rFont val="Tahoma"/>
            <family val="2"/>
          </rPr>
          <t xml:space="preserve">
None, due to FishKill</t>
        </r>
      </text>
    </comment>
    <comment ref="K173" authorId="1">
      <text>
        <r>
          <rPr>
            <sz val="9"/>
            <color indexed="81"/>
            <rFont val="Tahoma"/>
            <family val="2"/>
          </rPr>
          <t>FC request for additional information sent 12/20/17. No response received.</t>
        </r>
      </text>
    </comment>
    <comment ref="I174" authorId="1">
      <text>
        <r>
          <rPr>
            <sz val="9"/>
            <color indexed="81"/>
            <rFont val="Tahoma"/>
            <family val="2"/>
          </rPr>
          <t>Included a one time 2% increase per vote of the BOS in March 2017</t>
        </r>
      </text>
    </comment>
    <comment ref="H180" authorId="0">
      <text>
        <r>
          <rPr>
            <sz val="9"/>
            <color indexed="81"/>
            <rFont val="Tahoma"/>
            <family val="2"/>
          </rPr>
          <t>Currently assumes 15hrs/week, calculated as:
26wks x 15hrs x $10/hr = 3,900
26wks x 15hrs x $11/hr = 4,290
Total: $8,190
Amount to be modified after BOS confirms SR Cook hours. Then will be approved hrs x min wage.
If approved for 19hrs/week, then amount should be $10,374</t>
        </r>
      </text>
    </comment>
    <comment ref="I180" authorId="1">
      <text>
        <r>
          <rPr>
            <b/>
            <sz val="9"/>
            <color indexed="81"/>
            <rFont val="Tahoma"/>
            <family val="2"/>
          </rPr>
          <t>Lainson, Roy:</t>
        </r>
        <r>
          <rPr>
            <sz val="9"/>
            <color indexed="81"/>
            <rFont val="Tahoma"/>
            <family val="2"/>
          </rPr>
          <t xml:space="preserve">
52wks x 19hrs/wk x $11 an hour = $10,868</t>
        </r>
      </text>
    </comment>
    <comment ref="H182" authorId="0">
      <text>
        <r>
          <rPr>
            <sz val="9"/>
            <color indexed="81"/>
            <rFont val="Tahoma"/>
            <family val="2"/>
          </rPr>
          <t>Increased for required inspections of ovens at $150 semi-annually</t>
        </r>
      </text>
    </comment>
    <comment ref="I182" authorId="0">
      <text>
        <r>
          <rPr>
            <sz val="9"/>
            <color indexed="81"/>
            <rFont val="Tahoma"/>
            <family val="2"/>
          </rPr>
          <t>Increased for required inspections of ovens at $150 semi-annually</t>
        </r>
      </text>
    </comment>
    <comment ref="F193" authorId="1">
      <text>
        <r>
          <rPr>
            <sz val="9"/>
            <color indexed="81"/>
            <rFont val="Tahoma"/>
            <family val="2"/>
          </rPr>
          <t>Per Library Director, the total amount required in FY15 to maintain Certification is $48,505. An additional amount of $308.49 was added to Lib Exp to reach this total.</t>
        </r>
      </text>
    </comment>
    <comment ref="G193" authorId="1">
      <text>
        <r>
          <rPr>
            <sz val="9"/>
            <color indexed="81"/>
            <rFont val="Tahoma"/>
            <family val="2"/>
          </rPr>
          <t>Per Library Director, the total amount required in FY15 to maintain Certification is $48,505. An additional amount of $308.49 was added to Lib Exp to reach this total.</t>
        </r>
      </text>
    </comment>
    <comment ref="H193" authorId="1">
      <text>
        <r>
          <rPr>
            <sz val="9"/>
            <color indexed="81"/>
            <rFont val="Tahoma"/>
            <family val="2"/>
          </rPr>
          <t>The total amount required in FY17 to maintain Certification is $50,559.00 = sum(FY14, 15,16)/3 x 1.025
Certified #s are:
FY14 = 48,765
FY15 = 48,956
FY16 = 50,256</t>
        </r>
      </text>
    </comment>
    <comment ref="I193" authorId="1">
      <text>
        <r>
          <rPr>
            <sz val="9"/>
            <color indexed="81"/>
            <rFont val="Tahoma"/>
            <family val="2"/>
          </rPr>
          <t>The total amount required in FY18 to maintain Certification is $51,388.38 = sum(FY15, 16, 17)/3 x 1.025
Certified #s are:
FY15 = 48,956
FY16 = 50,230
FY17 = 51,219</t>
        </r>
      </text>
    </comment>
    <comment ref="K193" authorId="1">
      <text>
        <r>
          <rPr>
            <sz val="9"/>
            <color indexed="81"/>
            <rFont val="Tahoma"/>
            <family val="2"/>
          </rPr>
          <t>The total amount required in FY19 to maintain Certification is $52,008.00 = sum(FY16, 17, 18)/3 x 1.025
Beginning for FY19, revolving amounts will no longer be part of this calculation and an adjustment will be sent by MLBC in late Feb/early March 2018.
Certified #s are:
FY16 = 50,230 - 524 = 49,706
FY17 = 51,525 - 403 = 51,122
FY18 = 51,788 - 400 = 51,388
FY19 Min funding = 52,007.14</t>
        </r>
      </text>
    </comment>
    <comment ref="B194" authorId="1">
      <text>
        <r>
          <rPr>
            <b/>
            <sz val="9"/>
            <color indexed="81"/>
            <rFont val="Tahoma"/>
            <family val="2"/>
          </rPr>
          <t>MINIMUM FUNDING REQUIREMENT</t>
        </r>
        <r>
          <rPr>
            <sz val="9"/>
            <color indexed="81"/>
            <rFont val="Tahoma"/>
            <family val="2"/>
          </rPr>
          <t xml:space="preserve">
Massachusetts General Law (M.G.L., c.78, s.19A), states that a municipality must appropriate a figure of at least the average of the last 3 years' municipal appropriations to the library for operations, increased by 2.5%, in order to be certified for State Aid to Public Libraries
To confirm last year's Certified amount (which includes actual budget + revolving funds), contact Uechi Ng at 617-725-1860</t>
        </r>
      </text>
    </comment>
    <comment ref="K197" authorId="1">
      <text>
        <r>
          <rPr>
            <sz val="9"/>
            <color indexed="81"/>
            <rFont val="Tahoma"/>
            <family val="2"/>
          </rPr>
          <t>Includes a one-time expense of replacing goals/nets. Increase request of $2,480.
FY20+ will go back down to $3,800.</t>
        </r>
      </text>
    </comment>
    <comment ref="B202" authorId="1">
      <text>
        <r>
          <rPr>
            <sz val="9"/>
            <color indexed="81"/>
            <rFont val="Tahoma"/>
            <family val="2"/>
          </rPr>
          <t>Principal Pmts set aside via article in 2017. Tanker Interest is as follows:
FY18 = $3,000
FY18 = $2,000
FY18 = $1,000</t>
        </r>
      </text>
    </comment>
    <comment ref="C206" authorId="1">
      <text>
        <r>
          <rPr>
            <sz val="9"/>
            <color indexed="81"/>
            <rFont val="Tahoma"/>
            <family val="2"/>
          </rPr>
          <t>Dam Inspc = 1500
Hwy Trk note = 15,232</t>
        </r>
      </text>
    </comment>
    <comment ref="B210" authorId="1">
      <text>
        <r>
          <rPr>
            <sz val="9"/>
            <color indexed="81"/>
            <rFont val="Tahoma"/>
            <family val="2"/>
          </rPr>
          <t>For each employee, amount is 9% of Gross Income. Additionally, for any amounts &gt; $30k, there is an additional 2%</t>
        </r>
      </text>
    </comment>
    <comment ref="K210" authorId="1">
      <text>
        <r>
          <rPr>
            <sz val="9"/>
            <color indexed="81"/>
            <rFont val="Tahoma"/>
            <family val="2"/>
          </rPr>
          <t>Per Hmdn Cnty Rtrmnt Board, due to actuarial adjustments and a total salaries paid increase of 20%</t>
        </r>
      </text>
    </comment>
    <comment ref="K213" authorId="3">
      <text>
        <r>
          <rPr>
            <sz val="9"/>
            <color indexed="81"/>
            <rFont val="Tahoma"/>
            <family val="2"/>
          </rPr>
          <t>Medical/Life/Dental broken out to show School and Town expense amounts separately. Together, increases for FY19 amount to $72,734 over FY18.</t>
        </r>
      </text>
    </comment>
  </commentList>
</comments>
</file>

<file path=xl/comments3.xml><?xml version="1.0" encoding="utf-8"?>
<comments xmlns="http://schemas.openxmlformats.org/spreadsheetml/2006/main">
  <authors>
    <author>Lainson, Roy</author>
  </authors>
  <commentList>
    <comment ref="E7" authorId="0">
      <text>
        <r>
          <rPr>
            <sz val="9"/>
            <color indexed="81"/>
            <rFont val="Tahoma"/>
            <family val="2"/>
          </rPr>
          <t>FY14 Gov Budget = 
3,060</t>
        </r>
        <r>
          <rPr>
            <b/>
            <sz val="9"/>
            <color indexed="81"/>
            <rFont val="Tahoma"/>
            <family val="2"/>
          </rPr>
          <t xml:space="preserve">
</t>
        </r>
      </text>
    </comment>
    <comment ref="E8" authorId="0">
      <text>
        <r>
          <rPr>
            <sz val="9"/>
            <color indexed="81"/>
            <rFont val="Tahoma"/>
            <family val="2"/>
          </rPr>
          <t>FY14 Gov Budget = 
1,141</t>
        </r>
        <r>
          <rPr>
            <b/>
            <sz val="9"/>
            <color indexed="81"/>
            <rFont val="Tahoma"/>
            <family val="2"/>
          </rPr>
          <t xml:space="preserve">
</t>
        </r>
      </text>
    </comment>
    <comment ref="E10" authorId="0">
      <text>
        <r>
          <rPr>
            <sz val="9"/>
            <color indexed="81"/>
            <rFont val="Tahoma"/>
            <family val="2"/>
          </rPr>
          <t xml:space="preserve">FY13, value was originally 92,550, but was lowered to 81,500 per Deb Boyd. Eventually ended up going to 132,902 in FY13.
Gov Budget calls for 42,781 in FY14.
</t>
        </r>
      </text>
    </comment>
    <comment ref="B15" authorId="0">
      <text>
        <r>
          <rPr>
            <sz val="9"/>
            <color indexed="81"/>
            <rFont val="Tahoma"/>
            <family val="2"/>
          </rPr>
          <t>FY14 Gov Budget = 
734,059</t>
        </r>
        <r>
          <rPr>
            <b/>
            <sz val="9"/>
            <color indexed="81"/>
            <rFont val="Tahoma"/>
            <family val="2"/>
          </rPr>
          <t xml:space="preserve">
</t>
        </r>
      </text>
    </comment>
    <comment ref="B17" authorId="0">
      <text>
        <r>
          <rPr>
            <sz val="9"/>
            <color indexed="81"/>
            <rFont val="Tahoma"/>
            <family val="2"/>
          </rPr>
          <t>FY14 Gov Budget = 9219</t>
        </r>
      </text>
    </comment>
    <comment ref="D17" authorId="0">
      <text>
        <r>
          <rPr>
            <sz val="9"/>
            <color indexed="81"/>
            <rFont val="Tahoma"/>
            <family val="2"/>
          </rPr>
          <t>Total needed is approx. $10,000 every 5 years. Next inspection is FY18.</t>
        </r>
      </text>
    </comment>
    <comment ref="B18" authorId="0">
      <text>
        <r>
          <rPr>
            <sz val="9"/>
            <color indexed="81"/>
            <rFont val="Tahoma"/>
            <family val="2"/>
          </rPr>
          <t>FY14 Gov Budget:
10,935. This is new, not counting on it.</t>
        </r>
      </text>
    </comment>
    <comment ref="D18" authorId="0">
      <text>
        <r>
          <rPr>
            <sz val="9"/>
            <color indexed="81"/>
            <rFont val="Tahoma"/>
            <family val="2"/>
          </rPr>
          <t>Total needed is approx. $12,000 every three years. Next audit will be in FY16 for FY15.</t>
        </r>
      </text>
    </comment>
    <comment ref="B19" authorId="0">
      <text>
        <r>
          <rPr>
            <sz val="9"/>
            <color indexed="81"/>
            <rFont val="Tahoma"/>
            <family val="2"/>
          </rPr>
          <t>FY14 Gov Budget = 
8,683</t>
        </r>
      </text>
    </comment>
    <comment ref="B20" authorId="0">
      <text>
        <r>
          <rPr>
            <sz val="9"/>
            <color indexed="81"/>
            <rFont val="Tahoma"/>
            <family val="2"/>
          </rPr>
          <t>FY14 Gov Budget = 
26,086</t>
        </r>
      </text>
    </comment>
    <comment ref="B25" authorId="0">
      <text>
        <r>
          <rPr>
            <sz val="9"/>
            <color indexed="81"/>
            <rFont val="Tahoma"/>
            <family val="2"/>
          </rPr>
          <t>FY13 Free Cash =
10,000</t>
        </r>
      </text>
    </comment>
    <comment ref="B35" authorId="0">
      <text>
        <r>
          <rPr>
            <b/>
            <sz val="9"/>
            <color indexed="81"/>
            <rFont val="Tahoma"/>
            <family val="2"/>
          </rPr>
          <t xml:space="preserve">FinCom:
</t>
        </r>
        <r>
          <rPr>
            <sz val="9"/>
            <color indexed="81"/>
            <rFont val="Tahoma"/>
            <family val="2"/>
          </rPr>
          <t>Use whole dollar values</t>
        </r>
      </text>
    </comment>
  </commentList>
</comments>
</file>

<file path=xl/comments4.xml><?xml version="1.0" encoding="utf-8"?>
<comments xmlns="http://schemas.openxmlformats.org/spreadsheetml/2006/main">
  <authors>
    <author>Lainson, Roy</author>
    <author>Roy Lainson</author>
  </authors>
  <commentList>
    <comment ref="E10" authorId="0">
      <text>
        <r>
          <rPr>
            <sz val="9"/>
            <color indexed="81"/>
            <rFont val="Tahoma"/>
            <family val="2"/>
          </rPr>
          <t>Was originally 92,550, but was lowered to 81,500 per Deb Boyd.</t>
        </r>
      </text>
    </comment>
    <comment ref="D17" authorId="0">
      <text>
        <r>
          <rPr>
            <sz val="9"/>
            <color indexed="81"/>
            <rFont val="Tahoma"/>
            <family val="2"/>
          </rPr>
          <t>Total needed is approx. $9,000 every 5 years. Next inspection is 2016.</t>
        </r>
      </text>
    </comment>
    <comment ref="D18" authorId="0">
      <text>
        <r>
          <rPr>
            <sz val="9"/>
            <color indexed="81"/>
            <rFont val="Tahoma"/>
            <family val="2"/>
          </rPr>
          <t>Total needed is approx. $9,000 every three years. Audits occur every 3 years.</t>
        </r>
      </text>
    </comment>
    <comment ref="B37" authorId="1">
      <text>
        <r>
          <rPr>
            <b/>
            <sz val="9"/>
            <color indexed="81"/>
            <rFont val="Tahoma"/>
            <family val="2"/>
          </rPr>
          <t>Roy Lainson:</t>
        </r>
        <r>
          <rPr>
            <sz val="9"/>
            <color indexed="81"/>
            <rFont val="Tahoma"/>
            <family val="2"/>
          </rPr>
          <t xml:space="preserve">
Flowed through FY13 budget.</t>
        </r>
      </text>
    </comment>
  </commentList>
</comments>
</file>

<file path=xl/comments5.xml><?xml version="1.0" encoding="utf-8"?>
<comments xmlns="http://schemas.openxmlformats.org/spreadsheetml/2006/main">
  <authors>
    <author>Roy Lainson</author>
    <author>FinComm</author>
    <author>Lainson, Roy</author>
    <author>rlainson</author>
  </authors>
  <commentList>
    <comment ref="P3" authorId="0">
      <text>
        <r>
          <rPr>
            <b/>
            <sz val="9"/>
            <color indexed="81"/>
            <rFont val="Tahoma"/>
            <family val="2"/>
          </rPr>
          <t>Variance Switch</t>
        </r>
        <r>
          <rPr>
            <sz val="9"/>
            <color indexed="81"/>
            <rFont val="Tahoma"/>
            <family val="2"/>
          </rPr>
          <t xml:space="preserve">
Do not delete. This corresponds to the Compare feature in columns I and J.</t>
        </r>
      </text>
    </comment>
    <comment ref="F10" authorId="1">
      <text>
        <r>
          <rPr>
            <b/>
            <sz val="9"/>
            <color indexed="81"/>
            <rFont val="Tahoma"/>
            <family val="2"/>
          </rPr>
          <t>FinComm:</t>
        </r>
        <r>
          <rPr>
            <sz val="9"/>
            <color indexed="81"/>
            <rFont val="Tahoma"/>
            <family val="2"/>
          </rPr>
          <t xml:space="preserve">
Recommended 17,000 less Central Proc. Of 2,756.55</t>
        </r>
      </text>
    </comment>
    <comment ref="H32" authorId="2">
      <text>
        <r>
          <rPr>
            <b/>
            <sz val="9"/>
            <color indexed="81"/>
            <rFont val="Tahoma"/>
            <family val="2"/>
          </rPr>
          <t>Lainson, Roy:</t>
        </r>
        <r>
          <rPr>
            <sz val="9"/>
            <color indexed="81"/>
            <rFont val="Tahoma"/>
            <family val="2"/>
          </rPr>
          <t xml:space="preserve">
Increase 2,468.79 extra in case of a 3% salary increase in union negotiation.</t>
        </r>
      </text>
    </comment>
    <comment ref="B52" authorId="3">
      <text>
        <r>
          <rPr>
            <b/>
            <sz val="8"/>
            <color indexed="81"/>
            <rFont val="Tahoma"/>
            <family val="2"/>
          </rPr>
          <t xml:space="preserve">FinCom: </t>
        </r>
        <r>
          <rPr>
            <sz val="8"/>
            <color indexed="81"/>
            <rFont val="Tahoma"/>
            <family val="2"/>
          </rPr>
          <t>stipend reimbursement is required by MGL</t>
        </r>
      </text>
    </comment>
    <comment ref="B61" authorId="3">
      <text>
        <r>
          <rPr>
            <b/>
            <sz val="8"/>
            <color indexed="81"/>
            <rFont val="Tahoma"/>
            <family val="2"/>
          </rPr>
          <t xml:space="preserve">FinCom: </t>
        </r>
        <r>
          <rPr>
            <sz val="8"/>
            <color indexed="81"/>
            <rFont val="Tahoma"/>
            <family val="2"/>
          </rPr>
          <t>stipend reimbursement is required by MGL</t>
        </r>
      </text>
    </comment>
    <comment ref="E84" authorId="1">
      <text>
        <r>
          <rPr>
            <b/>
            <sz val="9"/>
            <color indexed="81"/>
            <rFont val="Tahoma"/>
            <family val="2"/>
          </rPr>
          <t>FinComm:</t>
        </r>
        <r>
          <rPr>
            <sz val="9"/>
            <color indexed="81"/>
            <rFont val="Tahoma"/>
            <family val="2"/>
          </rPr>
          <t xml:space="preserve">
One time expense in 2011. Zero for 2012</t>
        </r>
      </text>
    </comment>
    <comment ref="F95" authorId="1">
      <text>
        <r>
          <rPr>
            <b/>
            <sz val="9"/>
            <color indexed="81"/>
            <rFont val="Tahoma"/>
            <family val="2"/>
          </rPr>
          <t>FinComm:</t>
        </r>
        <r>
          <rPr>
            <sz val="9"/>
            <color indexed="81"/>
            <rFont val="Tahoma"/>
            <family val="2"/>
          </rPr>
          <t xml:space="preserve">
Was prev. set by FC to 6500, reduced by 3000 for vehicle maint. Parts</t>
        </r>
      </text>
    </comment>
    <comment ref="F96" authorId="1">
      <text>
        <r>
          <rPr>
            <b/>
            <sz val="9"/>
            <color indexed="81"/>
            <rFont val="Tahoma"/>
            <family val="2"/>
          </rPr>
          <t>FinComm:</t>
        </r>
        <r>
          <rPr>
            <sz val="9"/>
            <color indexed="81"/>
            <rFont val="Tahoma"/>
            <family val="2"/>
          </rPr>
          <t xml:space="preserve">
Was prev. set by FC to 6500, reduced by 3000 for vehicle maint. Parts</t>
        </r>
      </text>
    </comment>
    <comment ref="G101" authorId="2">
      <text>
        <r>
          <rPr>
            <b/>
            <sz val="9"/>
            <color indexed="81"/>
            <rFont val="Tahoma"/>
            <family val="2"/>
          </rPr>
          <t>Lainson, Roy:</t>
        </r>
        <r>
          <rPr>
            <sz val="9"/>
            <color indexed="81"/>
            <rFont val="Tahoma"/>
            <family val="2"/>
          </rPr>
          <t xml:space="preserve">
Estimated at a 2.5% increase. Requested amount not yet received.</t>
        </r>
      </text>
    </comment>
    <comment ref="B149" authorId="0">
      <text>
        <r>
          <rPr>
            <b/>
            <sz val="9"/>
            <color indexed="81"/>
            <rFont val="Tahoma"/>
            <family val="2"/>
          </rPr>
          <t>TRSD Debt Schedule:</t>
        </r>
        <r>
          <rPr>
            <sz val="9"/>
            <color indexed="81"/>
            <rFont val="Tahoma"/>
            <family val="2"/>
          </rPr>
          <t xml:space="preserve">
FY13: 42,522
FY14: 30,738
FY15: 19,577
FY16: 8,503
</t>
        </r>
        <r>
          <rPr>
            <b/>
            <sz val="9"/>
            <color indexed="81"/>
            <rFont val="Tahoma"/>
            <family val="2"/>
          </rPr>
          <t>Start getting $ back:</t>
        </r>
        <r>
          <rPr>
            <sz val="9"/>
            <color indexed="81"/>
            <rFont val="Tahoma"/>
            <family val="2"/>
          </rPr>
          <t xml:space="preserve">
FY17: (1,845)
FY18: (12,280)
FY19: (22,317)
FY20: (32,362)
FY21: (62,180)</t>
        </r>
      </text>
    </comment>
    <comment ref="F162" authorId="3">
      <text>
        <r>
          <rPr>
            <b/>
            <sz val="8"/>
            <color indexed="81"/>
            <rFont val="Tahoma"/>
            <family val="2"/>
          </rPr>
          <t>FinComm:</t>
        </r>
        <r>
          <rPr>
            <sz val="8"/>
            <color indexed="81"/>
            <rFont val="Tahoma"/>
            <family val="2"/>
          </rPr>
          <t xml:space="preserve">
Recommended 12,000 less Central Proc. of 4,164.15</t>
        </r>
      </text>
    </comment>
    <comment ref="F166" authorId="3">
      <text>
        <r>
          <rPr>
            <b/>
            <sz val="8"/>
            <color indexed="81"/>
            <rFont val="Tahoma"/>
            <family val="2"/>
          </rPr>
          <t>FinCom:</t>
        </r>
        <r>
          <rPr>
            <sz val="8"/>
            <color indexed="81"/>
            <rFont val="Tahoma"/>
            <family val="2"/>
          </rPr>
          <t xml:space="preserve"> Separated out 2,000 as new Machinery Rental line item</t>
        </r>
      </text>
    </comment>
    <comment ref="F173" authorId="1">
      <text>
        <r>
          <rPr>
            <b/>
            <sz val="9"/>
            <color indexed="81"/>
            <rFont val="Tahoma"/>
            <family val="2"/>
          </rPr>
          <t>FinComm:</t>
        </r>
        <r>
          <rPr>
            <sz val="9"/>
            <color indexed="81"/>
            <rFont val="Tahoma"/>
            <family val="2"/>
          </rPr>
          <t xml:space="preserve">
Line item $ moved to Central Procur. Line item should be removed for FY13.</t>
        </r>
      </text>
    </comment>
    <comment ref="B174" authorId="2">
      <text>
        <r>
          <rPr>
            <sz val="9"/>
            <color indexed="81"/>
            <rFont val="Tahoma"/>
            <family val="2"/>
          </rPr>
          <t>Approx. $9,000 over 5 years.</t>
        </r>
      </text>
    </comment>
    <comment ref="B175" authorId="2">
      <text>
        <r>
          <rPr>
            <sz val="9"/>
            <color indexed="81"/>
            <rFont val="Tahoma"/>
            <family val="2"/>
          </rPr>
          <t>$3,000 in FY12 was a full Full cleaning (3,000) will most likely need for the next 5 yrs.</t>
        </r>
      </text>
    </comment>
    <comment ref="H184" authorId="0">
      <text>
        <r>
          <rPr>
            <sz val="9"/>
            <color indexed="81"/>
            <rFont val="Tahoma"/>
            <family val="2"/>
          </rPr>
          <t>Represents an hourly increase of 19.25 to 22.00. See 3/08/12 minutes for details. Increased by 2% salary New FY13 salary = 11,440 x 1.02</t>
        </r>
      </text>
    </comment>
    <comment ref="F186" authorId="1">
      <text>
        <r>
          <rPr>
            <b/>
            <sz val="9"/>
            <color indexed="81"/>
            <rFont val="Tahoma"/>
            <family val="2"/>
          </rPr>
          <t>FinCom:</t>
        </r>
        <r>
          <rPr>
            <sz val="9"/>
            <color indexed="81"/>
            <rFont val="Tahoma"/>
            <family val="2"/>
          </rPr>
          <t xml:space="preserve">
Recommended 13,000 less Central Proc. of 3,465.03</t>
        </r>
      </text>
    </comment>
    <comment ref="E195" authorId="1">
      <text>
        <r>
          <rPr>
            <b/>
            <sz val="9"/>
            <color indexed="81"/>
            <rFont val="Tahoma"/>
            <family val="2"/>
          </rPr>
          <t>FinComm:</t>
        </r>
        <r>
          <rPr>
            <sz val="9"/>
            <color indexed="81"/>
            <rFont val="Tahoma"/>
            <family val="2"/>
          </rPr>
          <t xml:space="preserve">
3% for sr tech, 4% for lesser paid tech. If getting raises, why is the total less than last yr?</t>
        </r>
      </text>
    </comment>
    <comment ref="F197" authorId="1">
      <text>
        <r>
          <rPr>
            <b/>
            <sz val="9"/>
            <color indexed="81"/>
            <rFont val="Tahoma"/>
            <family val="2"/>
          </rPr>
          <t>FinComm:</t>
        </r>
        <r>
          <rPr>
            <sz val="9"/>
            <color indexed="81"/>
            <rFont val="Tahoma"/>
            <family val="2"/>
          </rPr>
          <t xml:space="preserve">
Recommended 17,560 less Central Proc. of 1,279.03</t>
        </r>
      </text>
    </comment>
    <comment ref="B198" authorId="2">
      <text>
        <r>
          <rPr>
            <b/>
            <sz val="9"/>
            <color indexed="81"/>
            <rFont val="Tahoma"/>
            <family val="2"/>
          </rPr>
          <t>MINIMUM FUNDING REQUIREMENT</t>
        </r>
        <r>
          <rPr>
            <sz val="9"/>
            <color indexed="81"/>
            <rFont val="Tahoma"/>
            <family val="2"/>
          </rPr>
          <t xml:space="preserve">
Massachusetts General Law (M.G.L., c.78, s.19A), states that a municipality must appropriate a figure of at least the average of the last 3 years' municipal appropriations to the library for operations, increased by 2.5%, in order to be certified for State Aid to Public Libraries</t>
        </r>
      </text>
    </comment>
    <comment ref="F200" authorId="1">
      <text>
        <r>
          <rPr>
            <b/>
            <sz val="9"/>
            <color indexed="81"/>
            <rFont val="Tahoma"/>
            <family val="2"/>
          </rPr>
          <t>FinComm:</t>
        </r>
        <r>
          <rPr>
            <sz val="9"/>
            <color indexed="81"/>
            <rFont val="Tahoma"/>
            <family val="2"/>
          </rPr>
          <t xml:space="preserve">
Recommended 2,800 less Central Proc. Of 100.85</t>
        </r>
      </text>
    </comment>
    <comment ref="B206" authorId="3">
      <text>
        <r>
          <rPr>
            <b/>
            <sz val="8"/>
            <color indexed="81"/>
            <rFont val="Tahoma"/>
            <family val="2"/>
          </rPr>
          <t xml:space="preserve">FinCom:
</t>
        </r>
        <r>
          <rPr>
            <sz val="8"/>
            <color indexed="81"/>
            <rFont val="Tahoma"/>
            <family val="2"/>
          </rPr>
          <t>Last pmt in FY16</t>
        </r>
      </text>
    </comment>
    <comment ref="B211" authorId="2">
      <text>
        <r>
          <rPr>
            <b/>
            <sz val="9"/>
            <color indexed="81"/>
            <rFont val="Tahoma"/>
            <family val="2"/>
          </rPr>
          <t>Lainson, Roy:</t>
        </r>
        <r>
          <rPr>
            <sz val="9"/>
            <color indexed="81"/>
            <rFont val="Tahoma"/>
            <family val="2"/>
          </rPr>
          <t xml:space="preserve">
FY13 is the last year.</t>
        </r>
      </text>
    </comment>
    <comment ref="B216" authorId="2">
      <text>
        <r>
          <rPr>
            <b/>
            <sz val="9"/>
            <color indexed="81"/>
            <rFont val="Tahoma"/>
            <family val="2"/>
          </rPr>
          <t>Lainson, Roy:</t>
        </r>
        <r>
          <rPr>
            <sz val="9"/>
            <color indexed="81"/>
            <rFont val="Tahoma"/>
            <family val="2"/>
          </rPr>
          <t xml:space="preserve">
FY13 is the last year.</t>
        </r>
      </text>
    </comment>
    <comment ref="B217" authorId="2">
      <text>
        <r>
          <rPr>
            <b/>
            <sz val="9"/>
            <color indexed="81"/>
            <rFont val="Tahoma"/>
            <family val="2"/>
          </rPr>
          <t>Lainson, Roy:</t>
        </r>
        <r>
          <rPr>
            <sz val="9"/>
            <color indexed="81"/>
            <rFont val="Tahoma"/>
            <family val="2"/>
          </rPr>
          <t xml:space="preserve">
FY13 is the last year.</t>
        </r>
      </text>
    </comment>
    <comment ref="E221" authorId="1">
      <text>
        <r>
          <rPr>
            <b/>
            <sz val="9"/>
            <color indexed="81"/>
            <rFont val="Tahoma"/>
            <family val="2"/>
          </rPr>
          <t>FinComm:</t>
        </r>
        <r>
          <rPr>
            <sz val="9"/>
            <color indexed="81"/>
            <rFont val="Tahoma"/>
            <family val="2"/>
          </rPr>
          <t xml:space="preserve">
What about interest from the new debt exclusion?</t>
        </r>
      </text>
    </comment>
  </commentList>
</comments>
</file>

<file path=xl/sharedStrings.xml><?xml version="1.0" encoding="utf-8"?>
<sst xmlns="http://schemas.openxmlformats.org/spreadsheetml/2006/main" count="1659" uniqueCount="900">
  <si>
    <t>TOWN OF WALES</t>
  </si>
  <si>
    <t>Financial Management Software</t>
  </si>
  <si>
    <t>Health/Other</t>
  </si>
  <si>
    <t>Custodial</t>
  </si>
  <si>
    <t>Total Salaries</t>
  </si>
  <si>
    <t>Fuel</t>
  </si>
  <si>
    <t>Electricity</t>
  </si>
  <si>
    <t>Telephone</t>
  </si>
  <si>
    <t>Water</t>
  </si>
  <si>
    <t>Vocational Tuition</t>
  </si>
  <si>
    <t>Special Educ Tuition</t>
  </si>
  <si>
    <t>Elementary Transportation</t>
  </si>
  <si>
    <t>Spec Ed &amp; Voc Transportation</t>
  </si>
  <si>
    <t>Vehicle Repair Parts</t>
  </si>
  <si>
    <t>Machinery Rental</t>
  </si>
  <si>
    <t>Police Expenses Cruiser Fuel</t>
  </si>
  <si>
    <t>Grant Research &amp; Writing</t>
  </si>
  <si>
    <t>General Highway</t>
  </si>
  <si>
    <t>100-510-5110</t>
  </si>
  <si>
    <t>BOH Clerk Salary</t>
  </si>
  <si>
    <t>100-510-5100</t>
  </si>
  <si>
    <t>Board of Health Members Stipends</t>
  </si>
  <si>
    <t>100-510-5400</t>
  </si>
  <si>
    <t>BOH Expenses</t>
  </si>
  <si>
    <t>100-541-5400</t>
  </si>
  <si>
    <t>100-541-5110</t>
  </si>
  <si>
    <t>100-541-5120</t>
  </si>
  <si>
    <t>100-543-5710</t>
  </si>
  <si>
    <t>Veterans' Benefits</t>
  </si>
  <si>
    <t>Collector Certification</t>
  </si>
  <si>
    <t>100-161-5100</t>
  </si>
  <si>
    <t>Town Clerk Salary</t>
  </si>
  <si>
    <t>100-161-5110</t>
  </si>
  <si>
    <t>Town Clerk Assistant Salary</t>
  </si>
  <si>
    <t>100-161-5400</t>
  </si>
  <si>
    <t>Town Clerk Expenses</t>
  </si>
  <si>
    <t>100-162-5100</t>
  </si>
  <si>
    <t>Elections &amp; Registration</t>
  </si>
  <si>
    <t>100-171-5100</t>
  </si>
  <si>
    <t>Conservation Comm. Stipends</t>
  </si>
  <si>
    <t>100-171-5400</t>
  </si>
  <si>
    <t>100-543-5400</t>
  </si>
  <si>
    <t>Veterans' Regional Assessment</t>
  </si>
  <si>
    <t>100-610-5100</t>
  </si>
  <si>
    <t>Library Director Salary</t>
  </si>
  <si>
    <t>100-610-5120</t>
  </si>
  <si>
    <t>Librarian Salary</t>
  </si>
  <si>
    <t>100-610-5110</t>
  </si>
  <si>
    <t>Library Custodian</t>
  </si>
  <si>
    <t>100-610-5400</t>
  </si>
  <si>
    <t>100-620-5400</t>
  </si>
  <si>
    <t>100-630-5400</t>
  </si>
  <si>
    <t>Parks and Recreation</t>
  </si>
  <si>
    <t>100-691-5400</t>
  </si>
  <si>
    <t>Historical Commission</t>
  </si>
  <si>
    <t>100-692-5400</t>
  </si>
  <si>
    <t>Memorial &amp; Armistice Day</t>
  </si>
  <si>
    <t>100-710-5420</t>
  </si>
  <si>
    <t>Long Term Debt Interest (Fire truck)</t>
  </si>
  <si>
    <t>100-710-5410</t>
  </si>
  <si>
    <t>100-710-5430</t>
  </si>
  <si>
    <t>Highway Truck Principal</t>
  </si>
  <si>
    <t>100-710-5770</t>
  </si>
  <si>
    <t>Highway Truck Interest</t>
  </si>
  <si>
    <t>Treasurer Interest on Loans</t>
  </si>
  <si>
    <t>100-911-5110</t>
  </si>
  <si>
    <t>Retirement Assessment</t>
  </si>
  <si>
    <t>100-913-5100</t>
  </si>
  <si>
    <t>Unemployment Insurance</t>
  </si>
  <si>
    <t>100-914-5100</t>
  </si>
  <si>
    <t>Chapter 32B Medical/Life/Dental</t>
  </si>
  <si>
    <t>100-916-5100</t>
  </si>
  <si>
    <t>100-499-5300</t>
  </si>
  <si>
    <t>Lake George Plant Management</t>
  </si>
  <si>
    <t>Grand Total Expense:</t>
  </si>
  <si>
    <t>New Growth</t>
  </si>
  <si>
    <t>Debt Exclusion</t>
  </si>
  <si>
    <t>Local Receipts</t>
  </si>
  <si>
    <t>100-292-5100</t>
  </si>
  <si>
    <t>Dog/Animal Officer Salary</t>
  </si>
  <si>
    <t>Dog/Animal Officer Expense</t>
  </si>
  <si>
    <t>100-292-5110</t>
  </si>
  <si>
    <t>Animal Inspector Stipend</t>
  </si>
  <si>
    <t>100-294-5400</t>
  </si>
  <si>
    <t>Trees Work &amp; Pest Control</t>
  </si>
  <si>
    <t>Tree Warden Stipend</t>
  </si>
  <si>
    <t>100-300-5700</t>
  </si>
  <si>
    <t>Administration</t>
  </si>
  <si>
    <t>Instruction</t>
  </si>
  <si>
    <t>Recommended</t>
  </si>
  <si>
    <t>Approved</t>
  </si>
  <si>
    <t>Requested</t>
  </si>
  <si>
    <t xml:space="preserve">Variance </t>
  </si>
  <si>
    <t>ACCOUNT #</t>
  </si>
  <si>
    <t>FY11</t>
  </si>
  <si>
    <t>100-114-5100</t>
  </si>
  <si>
    <t>Moderator Salary</t>
  </si>
  <si>
    <t>100-122-5100</t>
  </si>
  <si>
    <t>Selectman Salaries</t>
  </si>
  <si>
    <t>100-122-5400</t>
  </si>
  <si>
    <t>Selectmen Expenses</t>
  </si>
  <si>
    <t>100-122-5110</t>
  </si>
  <si>
    <t>Selectmen Secretary Salary</t>
  </si>
  <si>
    <t>TOTAL</t>
  </si>
  <si>
    <t>ADA Accessibility</t>
  </si>
  <si>
    <t>100-177-5200</t>
  </si>
  <si>
    <t>Psych Services</t>
  </si>
  <si>
    <t>Other C.O. Expense</t>
  </si>
  <si>
    <t>Total Fixed Costs</t>
  </si>
  <si>
    <t>Textbooks</t>
  </si>
  <si>
    <t>Teaching Supplies</t>
  </si>
  <si>
    <t>Technology Expenses</t>
  </si>
  <si>
    <t>Other supplies &amp; expenses</t>
  </si>
  <si>
    <t>Professional Development</t>
  </si>
  <si>
    <t>Building Projects</t>
  </si>
  <si>
    <t>Acquisition of Assets</t>
  </si>
  <si>
    <t>Building Supplies &amp; Materials</t>
  </si>
  <si>
    <t>School Committee expenses</t>
  </si>
  <si>
    <t>Total Other Variable Costs</t>
  </si>
  <si>
    <t>School Choice Funds</t>
  </si>
  <si>
    <t xml:space="preserve">TOTAL Wales Elementary </t>
  </si>
  <si>
    <t>100-301-5710</t>
  </si>
  <si>
    <t xml:space="preserve">Tantasqua Assessment </t>
  </si>
  <si>
    <t>100-301-5700</t>
  </si>
  <si>
    <t xml:space="preserve">Tantasqua Transportation </t>
  </si>
  <si>
    <t>100-301-5500</t>
  </si>
  <si>
    <t>School Bond Payment</t>
  </si>
  <si>
    <t>100-315-5400</t>
  </si>
  <si>
    <t>School Board Expenses</t>
  </si>
  <si>
    <t>100-316-5400</t>
  </si>
  <si>
    <t>TRSD Member Expenses</t>
  </si>
  <si>
    <t>TOTAL EDUCATION</t>
  </si>
  <si>
    <t>100-199-5400</t>
  </si>
  <si>
    <t>100-422-5400</t>
  </si>
  <si>
    <t>100-422-5100</t>
  </si>
  <si>
    <t xml:space="preserve">Highway Payroll </t>
  </si>
  <si>
    <t>100-422-5110</t>
  </si>
  <si>
    <t>Road Commissioner Salary</t>
  </si>
  <si>
    <t>100-422-5200</t>
  </si>
  <si>
    <t>Highway Gas &amp; Oil</t>
  </si>
  <si>
    <t>100-422-5700</t>
  </si>
  <si>
    <t>100-422-5410</t>
  </si>
  <si>
    <t>Beaver Control</t>
  </si>
  <si>
    <t>100-423-5100</t>
  </si>
  <si>
    <t>Snow &amp; Ice wages</t>
  </si>
  <si>
    <t>100-423-5400</t>
  </si>
  <si>
    <t xml:space="preserve">Sand and Salt </t>
  </si>
  <si>
    <t>100-490-5400</t>
  </si>
  <si>
    <t>Cemetery Expenses</t>
  </si>
  <si>
    <t>100-490-5100</t>
  </si>
  <si>
    <t>Member of Board of Assessors Salary</t>
  </si>
  <si>
    <t>100-141-5400</t>
  </si>
  <si>
    <t>Assessors Expenses</t>
  </si>
  <si>
    <t>100-142-5200</t>
  </si>
  <si>
    <t>Assessors State Mandated Interim Revaluation</t>
  </si>
  <si>
    <t>100-145-5210</t>
  </si>
  <si>
    <t>Treasurer Registration of Loans</t>
  </si>
  <si>
    <t>100-145-5100</t>
  </si>
  <si>
    <t>Treasurer Salary</t>
  </si>
  <si>
    <t>100-145-5110</t>
  </si>
  <si>
    <t>100-145-5400</t>
  </si>
  <si>
    <t>Treasurer Expenses</t>
  </si>
  <si>
    <t>100-158-5200</t>
  </si>
  <si>
    <t>Treasurer Tax Title Expenses</t>
  </si>
  <si>
    <t>Treasurer Certification</t>
  </si>
  <si>
    <t>100-146-5100</t>
  </si>
  <si>
    <t>100-146-5110</t>
  </si>
  <si>
    <t xml:space="preserve">Tax Collector Clerk Salary </t>
  </si>
  <si>
    <t xml:space="preserve">Tax Collector Expenses </t>
  </si>
  <si>
    <t>FY12</t>
  </si>
  <si>
    <t>Law Books</t>
  </si>
  <si>
    <t>100-135-5700</t>
  </si>
  <si>
    <t>GASBYS</t>
  </si>
  <si>
    <t>% change</t>
  </si>
  <si>
    <t>100-171-5200</t>
  </si>
  <si>
    <t>Conservation Comm. Clerk</t>
  </si>
  <si>
    <t>100-175-5100</t>
  </si>
  <si>
    <t>Planning Board Stipends</t>
  </si>
  <si>
    <t>100-175-5300</t>
  </si>
  <si>
    <t>Planning Board Clerk</t>
  </si>
  <si>
    <t>100-175-5400</t>
  </si>
  <si>
    <t>Planning Board Expenses</t>
  </si>
  <si>
    <t>100-176-5500</t>
  </si>
  <si>
    <t>Zoning Appeals Board Stipends</t>
  </si>
  <si>
    <t>100-176-5400</t>
  </si>
  <si>
    <t>Zoning Appeals Board Expenses</t>
  </si>
  <si>
    <t>Police Chief Salary</t>
  </si>
  <si>
    <t>100-210-5100</t>
  </si>
  <si>
    <t>Police Salaries</t>
  </si>
  <si>
    <t>100-210-5200</t>
  </si>
  <si>
    <t>Office Expenses</t>
  </si>
  <si>
    <t>100-210-5400</t>
  </si>
  <si>
    <t>Dues &amp; Subscriptions</t>
  </si>
  <si>
    <t>Technology (Verizon)</t>
  </si>
  <si>
    <t>100-220-5800</t>
  </si>
  <si>
    <t>100-220-5110</t>
  </si>
  <si>
    <t>100-220-5100</t>
  </si>
  <si>
    <t>100-220-5120</t>
  </si>
  <si>
    <t>100-220-5130</t>
  </si>
  <si>
    <t>100-220-5400</t>
  </si>
  <si>
    <t>100-220-5810</t>
  </si>
  <si>
    <t>100-231-5200</t>
  </si>
  <si>
    <t>Brimfield Ambulance</t>
  </si>
  <si>
    <t>100-291-5100</t>
  </si>
  <si>
    <t>100-291-5400</t>
  </si>
  <si>
    <t>Vehicle maintenance parts</t>
  </si>
  <si>
    <t>Senior Center Custodian Salary</t>
  </si>
  <si>
    <t>Senior Center Director</t>
  </si>
  <si>
    <t>Senior Center Building Repairs</t>
  </si>
  <si>
    <t>Y</t>
  </si>
  <si>
    <t>Tax Collector Salary</t>
  </si>
  <si>
    <t>PVPC Assessment</t>
  </si>
  <si>
    <t>100-151-5200</t>
  </si>
  <si>
    <t>Legal Advice</t>
  </si>
  <si>
    <t>100-192-5400</t>
  </si>
  <si>
    <t>100-192-5110</t>
  </si>
  <si>
    <t>Custodian Salary</t>
  </si>
  <si>
    <t>100-192-5200</t>
  </si>
  <si>
    <t>Town Property Maint. Expenses</t>
  </si>
  <si>
    <t>100-192-5800</t>
  </si>
  <si>
    <t>Office Equipment/Copier</t>
  </si>
  <si>
    <t>100-195-5200</t>
  </si>
  <si>
    <t>Printing</t>
  </si>
  <si>
    <t>100-424-5200</t>
  </si>
  <si>
    <t>100-945-5700</t>
  </si>
  <si>
    <t>Insurance &amp; Bonds</t>
  </si>
  <si>
    <t>100-429-5219</t>
  </si>
  <si>
    <t>Dam Inspections</t>
  </si>
  <si>
    <t>Employee Identification</t>
  </si>
  <si>
    <t>100-131-5400</t>
  </si>
  <si>
    <t>Finance Committee Expenses</t>
  </si>
  <si>
    <t>100-132-5700</t>
  </si>
  <si>
    <t>Reserve Fund</t>
  </si>
  <si>
    <t>100-135-5100</t>
  </si>
  <si>
    <t>Town Accountant Salary</t>
  </si>
  <si>
    <t>100-135-5110</t>
  </si>
  <si>
    <t>100-135-5400</t>
  </si>
  <si>
    <t>Town Accountant Expenses</t>
  </si>
  <si>
    <t>100-135-5200</t>
  </si>
  <si>
    <t>Financial Audit</t>
  </si>
  <si>
    <t>100-135-5500</t>
  </si>
  <si>
    <t>100-141-5100</t>
  </si>
  <si>
    <t>Principal Assessor Salary</t>
  </si>
  <si>
    <t>100-141-5110</t>
  </si>
  <si>
    <t>Clerk of Board of Assessors Salary</t>
  </si>
  <si>
    <t>100-141-5120</t>
  </si>
  <si>
    <t>FY13</t>
  </si>
  <si>
    <t xml:space="preserve">FY13 Budget </t>
  </si>
  <si>
    <t>GENERAL GOVERNMENT</t>
  </si>
  <si>
    <t>1 = Curr Yr Requested, less Prior Yr Budgeted</t>
  </si>
  <si>
    <t>GENERAL GOVERNMENT - SELECTMEN</t>
  </si>
  <si>
    <t>GENERAL GOVERNMENT - TOWN CLERK</t>
  </si>
  <si>
    <t>PUBLIC SAFETY - POLICE DEPT</t>
  </si>
  <si>
    <t>PUBLIC SAFETY - FIRE DEPT</t>
  </si>
  <si>
    <t>PUBLIC SAFETY - TREE WARDEN</t>
  </si>
  <si>
    <t>EDUCATION - WALES ELEMENTARY SCHOOL</t>
  </si>
  <si>
    <t>EDUCATION - TANTASQUA</t>
  </si>
  <si>
    <r>
      <t>Central Procurement - Utilities</t>
    </r>
    <r>
      <rPr>
        <sz val="11"/>
        <color indexed="10"/>
        <rFont val="Arial"/>
        <family val="2"/>
      </rPr>
      <t>*</t>
    </r>
  </si>
  <si>
    <t>PUBLIC SAFETY - AMBULANCE</t>
  </si>
  <si>
    <t>PUBLIC SAFETY - DOG/ANIMAL CONTROL</t>
  </si>
  <si>
    <r>
      <t>Town Office expense</t>
    </r>
    <r>
      <rPr>
        <sz val="11"/>
        <color indexed="10"/>
        <rFont val="Arial"/>
        <family val="2"/>
      </rPr>
      <t>*</t>
    </r>
  </si>
  <si>
    <r>
      <t>Senior Center Expenses</t>
    </r>
    <r>
      <rPr>
        <sz val="11"/>
        <color indexed="10"/>
        <rFont val="Arial"/>
        <family val="2"/>
      </rPr>
      <t>*</t>
    </r>
  </si>
  <si>
    <r>
      <t>Library Expenses</t>
    </r>
    <r>
      <rPr>
        <sz val="11"/>
        <color indexed="10"/>
        <rFont val="Arial"/>
        <family val="2"/>
      </rPr>
      <t>*</t>
    </r>
  </si>
  <si>
    <r>
      <t>Park Commission Expense</t>
    </r>
    <r>
      <rPr>
        <sz val="11"/>
        <color indexed="10"/>
        <rFont val="Arial"/>
        <family val="2"/>
      </rPr>
      <t>*</t>
    </r>
  </si>
  <si>
    <t xml:space="preserve">Soc. Sec. &amp; Medicare Town Share </t>
  </si>
  <si>
    <t>Percent change in Salary (testing only)</t>
  </si>
  <si>
    <t>Salary
position?</t>
  </si>
  <si>
    <t>Change in
Salary</t>
  </si>
  <si>
    <t>100-122-5130</t>
  </si>
  <si>
    <t>100-122-5500</t>
  </si>
  <si>
    <t>100-210-5205</t>
  </si>
  <si>
    <t>100-210-5220</t>
  </si>
  <si>
    <t>100-210-5110</t>
  </si>
  <si>
    <t>100-210-5700</t>
  </si>
  <si>
    <t>100-210-5204</t>
  </si>
  <si>
    <t>100-541-5800</t>
  </si>
  <si>
    <t>100-220-5205</t>
  </si>
  <si>
    <t>100-292-5205</t>
  </si>
  <si>
    <t>100-292-5400</t>
  </si>
  <si>
    <t>100-541-5205</t>
  </si>
  <si>
    <t>100-422-5300</t>
  </si>
  <si>
    <t>100-192-5825</t>
  </si>
  <si>
    <t>Total Increase Due to Salary Change:</t>
  </si>
  <si>
    <t>100-122-5700</t>
  </si>
  <si>
    <t xml:space="preserve">100-145-5190    </t>
  </si>
  <si>
    <t>100-146-5190</t>
  </si>
  <si>
    <t>GENERAL GOVERNMENT - FINANCE COMMITTEE</t>
  </si>
  <si>
    <t>GENERAL GOVERNMENT - ACCOUNTANT</t>
  </si>
  <si>
    <t>GENERAL GOVERNMENT - ASSESSORS</t>
  </si>
  <si>
    <t>GENERAL GOVERNMENT - TREASURER</t>
  </si>
  <si>
    <t>GENERAL GOVERNMENT - TAX COLLECTOR</t>
  </si>
  <si>
    <t>GENERAL GOVERNMENT - CONSERVATION COMMITTEE</t>
  </si>
  <si>
    <t>GENERAL GOVERNMENT - PLANNING BOARD</t>
  </si>
  <si>
    <t>GENERAL GOVERNMENT - ZONING BOARD OF APPEALS</t>
  </si>
  <si>
    <t>PUBLIC WORKS - CEMETERY</t>
  </si>
  <si>
    <t>HUMAN SERVICES - BOARD OF HEALTH</t>
  </si>
  <si>
    <t>HUMAN SERVICES - SENIOR CENTER</t>
  </si>
  <si>
    <t>PUBLIC WORKS - HIGHWAY DEPT</t>
  </si>
  <si>
    <t>CULTURAL &amp; RECREATION - LIBRARY</t>
  </si>
  <si>
    <t>CULTURAL &amp; RECREATION - PARK COMMISSION</t>
  </si>
  <si>
    <t>DEBT SERVICE</t>
  </si>
  <si>
    <t>HUMAN SERVICES - VETERANS</t>
  </si>
  <si>
    <t>PUBLIC WORKS - OTHER</t>
  </si>
  <si>
    <t>UNCLASSIFIED</t>
  </si>
  <si>
    <t>Total Fire Truck Note</t>
  </si>
  <si>
    <t>Total Highway Truck Note</t>
  </si>
  <si>
    <t>TANTASQUA TOTAL</t>
  </si>
  <si>
    <r>
      <t>Street Lights</t>
    </r>
    <r>
      <rPr>
        <sz val="11"/>
        <color indexed="10"/>
        <rFont val="Arial"/>
        <family val="2"/>
      </rPr>
      <t>*</t>
    </r>
    <r>
      <rPr>
        <sz val="9"/>
        <rFont val="Arial"/>
        <family val="2"/>
      </rPr>
      <t xml:space="preserve"> (Discontinued)</t>
    </r>
  </si>
  <si>
    <r>
      <t xml:space="preserve">PUBLIC SAFETY - EMERGENCY MGMT </t>
    </r>
    <r>
      <rPr>
        <b/>
        <sz val="8"/>
        <color indexed="9"/>
        <rFont val="Arial"/>
        <family val="2"/>
      </rPr>
      <t>(FORMERLY CIVIL DEFENSE)</t>
    </r>
  </si>
  <si>
    <t>Emergency Mgmt Stipend</t>
  </si>
  <si>
    <t xml:space="preserve">Emergency Mgmt Expenses </t>
  </si>
  <si>
    <t>Cemetery Caretaker</t>
  </si>
  <si>
    <t>2 = Curr Yr Recommended, less Prior Yr Budgeted</t>
  </si>
  <si>
    <t>Inside Budget, Inside Prop 2 1/2</t>
  </si>
  <si>
    <t>Inside Budget, Outside Prop 2 1/2</t>
  </si>
  <si>
    <t>Long Term Debt Principal</t>
  </si>
  <si>
    <t>Town Accountant Assistant Salary</t>
  </si>
  <si>
    <t>Treasurer Assistant Salary</t>
  </si>
  <si>
    <t>Conservation Comm. Expenses</t>
  </si>
  <si>
    <t>Vehicle Maintenance &amp; Parts</t>
  </si>
  <si>
    <t>Emergency Mgmt Assist Director Stipend</t>
  </si>
  <si>
    <t xml:space="preserve">Town of Wales </t>
  </si>
  <si>
    <t>Revenue</t>
  </si>
  <si>
    <t>Expense</t>
  </si>
  <si>
    <t>2012 Levy Limit</t>
  </si>
  <si>
    <t>State Assessments:</t>
  </si>
  <si>
    <t>Air Pollution</t>
  </si>
  <si>
    <t>RMV non-renewal</t>
  </si>
  <si>
    <t>Regional Transit</t>
  </si>
  <si>
    <t>STRAP Grant</t>
  </si>
  <si>
    <t>Total 2013 Levy</t>
  </si>
  <si>
    <t>School Choice</t>
  </si>
  <si>
    <t>FY13 Overlay Allowance</t>
  </si>
  <si>
    <t>State Receipts:</t>
  </si>
  <si>
    <t>Ch 70</t>
  </si>
  <si>
    <t>Articles:</t>
  </si>
  <si>
    <t>Unrestricted</t>
  </si>
  <si>
    <t>Vets Ben.</t>
  </si>
  <si>
    <t>Exemptions</t>
  </si>
  <si>
    <t>State Owned Land</t>
  </si>
  <si>
    <t>Total State Aid</t>
  </si>
  <si>
    <t>Other:</t>
  </si>
  <si>
    <t>Free cash</t>
  </si>
  <si>
    <t>Excess OL</t>
  </si>
  <si>
    <t>Total Other</t>
  </si>
  <si>
    <t>Total Revenue</t>
  </si>
  <si>
    <t>Available for Budget</t>
  </si>
  <si>
    <t>FY13 - FY12</t>
  </si>
  <si>
    <t>Snow &amp; Ice</t>
  </si>
  <si>
    <t>Total Other Expense</t>
  </si>
  <si>
    <t>Total State Assessments:</t>
  </si>
  <si>
    <t>Dam article</t>
  </si>
  <si>
    <t>Audit article</t>
  </si>
  <si>
    <t>FY13 Budget</t>
  </si>
  <si>
    <t>100-220-5140</t>
  </si>
  <si>
    <t>Fire Dept. Chief Salary</t>
  </si>
  <si>
    <t>Fire Dept. Members Salary</t>
  </si>
  <si>
    <t>Fire Dept. Deputy Chief</t>
  </si>
  <si>
    <t>Fire Dept. Captain</t>
  </si>
  <si>
    <t>Fire Dept. Engineer</t>
  </si>
  <si>
    <t xml:space="preserve">Fire Dept. Expenses </t>
  </si>
  <si>
    <t>Fire Dept. New Equipment</t>
  </si>
  <si>
    <t>Fire Dept. Communication Equipment</t>
  </si>
  <si>
    <t>Total Oct 2011 Snowstorm Note</t>
  </si>
  <si>
    <t>Summary of Free Cash Usage:</t>
  </si>
  <si>
    <t>(Certified Free Cash = $135,000)</t>
  </si>
  <si>
    <t>Oct 2011 Storm Note</t>
  </si>
  <si>
    <t>Fire Dept. SCBA Article</t>
  </si>
  <si>
    <t>Capital Stabilization Article</t>
  </si>
  <si>
    <t>General Stabilization Article</t>
  </si>
  <si>
    <t>Filename</t>
  </si>
  <si>
    <t>Changes</t>
  </si>
  <si>
    <t>Copied Requested column over to Recommended column with the exception of Salary &amp; Stipend line items.</t>
  </si>
  <si>
    <t>SC Director Recommended salary posted to Recommended column</t>
  </si>
  <si>
    <t>October 2011 Snowstorm Debt lines added for 72,453.12</t>
  </si>
  <si>
    <t>FD New Equip lowered from 22k back to 19k due to modification of proposed FD Article amount.</t>
  </si>
  <si>
    <t>250th Celebration Article</t>
  </si>
  <si>
    <t>FY13 Budget Outline</t>
  </si>
  <si>
    <t>New line items created to include the Oct 2011 Snowstorm in the budget for 72,454.</t>
  </si>
  <si>
    <t>Updated Parks Commission Expense line item per their request. Was zero, now requesting FY12 level funding of 2,699.15</t>
  </si>
  <si>
    <t>Library Expense line item modified per their request. Still following up with Sue to verify amounts provided by the Library.</t>
  </si>
  <si>
    <t>Tantasqua Budget remained as was previously posted. WES Budget decreased by 50,000!</t>
  </si>
  <si>
    <t>Audit article increased by 1,000 to 7,094</t>
  </si>
  <si>
    <t>250th Anniversary article for 5,000 added</t>
  </si>
  <si>
    <t xml:space="preserve"> </t>
  </si>
  <si>
    <t>Changes made during the 3/28 meeting:</t>
  </si>
  <si>
    <t>Police Equipment</t>
  </si>
  <si>
    <t>Police Detail Article</t>
  </si>
  <si>
    <t>Fire Dept. Heating</t>
  </si>
  <si>
    <t>Moved 5500 from Highway Town Garage to new FD line item FD Heating</t>
  </si>
  <si>
    <t>New Police Equipment line item added for 3500</t>
  </si>
  <si>
    <t>Police Detail Article added to Free Cash Usage table on the Budget Outline</t>
  </si>
  <si>
    <t>Highway Sand &amp; Salt / Snow &amp; Ice wage amounts level funded at FY12 amounts</t>
  </si>
  <si>
    <t>Moved 2335.85 from Highway Town Garage to Central Procurement (amounts still to be clarified)</t>
  </si>
  <si>
    <t>2468.79 added to Reserve to fund potential Highway employee increases due to Union negotiations</t>
  </si>
  <si>
    <t>Library Expense line item temporarily posted as 17,759.91 until Salary numbers are determined.</t>
  </si>
  <si>
    <t>Change 250th Anniv. Article from 5,000 to 3,500</t>
  </si>
  <si>
    <t>Reduced the Police Detail Article down from 10k to 5k, which as a result increased the Gen Stabilization article by 5k to a total of 11,225</t>
  </si>
  <si>
    <t>Insurance Premium Increase worksheet added</t>
  </si>
  <si>
    <t>100-220-5510</t>
  </si>
  <si>
    <t>Added new FD Heating account #: 100-220-5510</t>
  </si>
  <si>
    <t>N</t>
  </si>
  <si>
    <t>General Stabilization</t>
  </si>
  <si>
    <t>2% salary adjustments for all salaried employees, save highway super position</t>
  </si>
  <si>
    <t>Vehicle Maintenance Parts</t>
  </si>
  <si>
    <t>Funds for a potential 3% salary increase set aside in Reserve fund</t>
  </si>
  <si>
    <t>No increase recommended in FY13</t>
  </si>
  <si>
    <r>
      <t>Town Garage - Maintentance</t>
    </r>
    <r>
      <rPr>
        <sz val="11"/>
        <color indexed="10"/>
        <rFont val="Arial"/>
        <family val="2"/>
      </rPr>
      <t>*</t>
    </r>
  </si>
  <si>
    <t>Capital Stabilization</t>
  </si>
  <si>
    <t>Total Gen. Stabilization</t>
  </si>
  <si>
    <t>Total Cap. Stabilization</t>
  </si>
  <si>
    <t>Library Interest Article</t>
  </si>
  <si>
    <t>Article 22 (Norcross)</t>
  </si>
  <si>
    <t>Article 23 (Free Cash)</t>
  </si>
  <si>
    <t>Article 28 (Free Cash)</t>
  </si>
  <si>
    <t>Funding</t>
  </si>
  <si>
    <t>Summary of Stabilization Account</t>
  </si>
  <si>
    <t>Decreased Highway Commissioner salary to 48k</t>
  </si>
  <si>
    <t>Modified Library total funding amount per request of Library</t>
  </si>
  <si>
    <t>Removed increase from Central Procurement of 2334.85 added in error.</t>
  </si>
  <si>
    <t>Updated Tantasqua budget per email from Deb Boyd on 4/11 afternoon. Amounted to additional increases of $6,595.00</t>
  </si>
  <si>
    <t>Oct. 2011 Snowstorm Principal</t>
  </si>
  <si>
    <t>Oct. 2011 Snowstorm Interest</t>
  </si>
  <si>
    <t>Increased Library salary by 786.69 &amp; dec Lib Exp by 292.00. Corresponding offset to Gen. Stabil.</t>
  </si>
  <si>
    <t>Added Snowstorm interest of 2312.00. Corresponding increase in Local Receipts</t>
  </si>
  <si>
    <t>THIS SUMMARY IS ONLY FOR INTERNAL REVIEW, DO NOT PRINT</t>
  </si>
  <si>
    <t>Town of Wales</t>
  </si>
  <si>
    <t>Per request of Treasurer, increased Unemployment from 3,300 to 5,400.</t>
  </si>
  <si>
    <t>Per recommendation of Mike V, reduced the 32B line item by 20k.</t>
  </si>
  <si>
    <t>Increased Insurance &amp; Bonds by 20k to account for likely increases to this line item.</t>
  </si>
  <si>
    <t>Decrease the funding of the Cap. Stabilization funding coming from Free Cash from 23k to 13k (Article 23)</t>
  </si>
  <si>
    <t>Increase the FY13 Budget by 10,000 with funds coming from Free Cash (Budget Outline)</t>
  </si>
  <si>
    <t>Increase the Insurance &amp; Bonds line item from 75k to 90k (FY13 Budget)</t>
  </si>
  <si>
    <t>Changes to Articles:</t>
  </si>
  <si>
    <t>Article 23: Change amount from 23k to 13k. Ed Boyce will do this.</t>
  </si>
  <si>
    <t>Article 28: Change the raise &amp; appropriate amount of 15,148.16 to 10,148.16</t>
  </si>
  <si>
    <t>Article 27: Change the raise &amp; appropriate amount of 3,809,891.25 to 3,824,891.25</t>
  </si>
  <si>
    <t>Article 27: Change the Free Cash amount of 72,453.12 to 82,454.00</t>
  </si>
  <si>
    <t>Updated the Treasurer Salary and FD Chief Salary so as to round the calculated 2% increases to two decimal places. Added $.01 to each of the above line items to keep the department total equal to the amounts approved by the town. There were rounding errors caused by not using the round function. Total budget change was a decrease in $.02 from the approved budget.</t>
  </si>
  <si>
    <t>Decrease Gen Stabil funding (coming from the FY13 budget) by 5,000 (Budget Outline) to 10,148.15</t>
  </si>
  <si>
    <t>100-146-5410</t>
  </si>
  <si>
    <t>100-210-5830</t>
  </si>
  <si>
    <t>100-291-5110</t>
  </si>
  <si>
    <t>100-294-5110</t>
  </si>
  <si>
    <t>100-710-5769</t>
  </si>
  <si>
    <t>100-710-5925</t>
  </si>
  <si>
    <t>100-759-5762</t>
  </si>
  <si>
    <t>The following account #s were provided by Sue Hilker: Tax Collector Expenses, Police Equipment, Emergency Mgmt Assist Director Stipend, Tree Warden Stipend, Oct. 2011 Snowstorm Principal, Oct. 2011 Snowstorm Interest, and Treasurer Interest on Loans.</t>
  </si>
  <si>
    <t>Original Amts</t>
  </si>
  <si>
    <t>FY14</t>
  </si>
  <si>
    <t>Proposed</t>
  </si>
  <si>
    <t>FY14 Budget Outline</t>
  </si>
  <si>
    <t>2013 Levy Limit</t>
  </si>
  <si>
    <t>PUBLIC SAFETY - EMERGENCY MGMT</t>
  </si>
  <si>
    <t>Original FY14 Version, no Requests entered to date.</t>
  </si>
  <si>
    <t>(Certified Free Cash = $133,077)</t>
  </si>
  <si>
    <t>Budget Outline legend:
Red = FY13 values carried over
Blue = Estimated FY14 Values
Black = Final Proposed FY14 Values</t>
  </si>
  <si>
    <t>FY14 Budget</t>
  </si>
  <si>
    <t>Total 2014 Levy</t>
  </si>
  <si>
    <t>Input budget requests received as of 12/13/12</t>
  </si>
  <si>
    <t>Annual Formula Local Aid</t>
  </si>
  <si>
    <t>Excess/Deficit</t>
  </si>
  <si>
    <t>Stabilization Account Balances after FY13 ATM:</t>
  </si>
  <si>
    <t>General</t>
  </si>
  <si>
    <t>Capital</t>
  </si>
  <si>
    <t>Balance</t>
  </si>
  <si>
    <t>Level funded the following areas as no budget was receieved: FinCom, Conservation, Emerg. Mgmt, Animal Control, Wales Elem, Tantasqua, Cemetery &amp; Veterans Assessment</t>
  </si>
  <si>
    <t>Updated Outline tab with Governor's budget and entered in the more conservative amounts (Governor's Budget vs FY13 actuals) for the state receipts and assessments.</t>
  </si>
  <si>
    <t>The only new budget request since 12/14/12 was for a level fund amount for Lake George Plant Mgmt.</t>
  </si>
  <si>
    <t>Updated salary line items in proposed budget column to 1.25% increases.</t>
  </si>
  <si>
    <t>Updated the Tantasqua assessment by $20k per heads up from MV. Amount is approximate.</t>
  </si>
  <si>
    <t>Removed the School Choice amount of $40,000 that was carried over from FY13. Word is that that amount will be zero in FY14 :(</t>
  </si>
  <si>
    <t>Updated School Choice Assessment from $81,500 to the FY13 actual amount of $132,902.</t>
  </si>
  <si>
    <t>Building Inspector Clerk line item added. Initial (unapproved) amount entered as $1560 (2 hrs a week at $15/hr or (4 hrs x 26 weeks x $15)</t>
  </si>
  <si>
    <t>Copied requested values over to the Recommended column. Continued review of recommended values will occur in future meetings.</t>
  </si>
  <si>
    <t>Special Mtng -  Rescue Article</t>
  </si>
  <si>
    <t>Updated the Free Cash Usage for Special Meeting Article.</t>
  </si>
  <si>
    <t>FY14 Overlay Allowance</t>
  </si>
  <si>
    <t>Revised the following line item names: Selectman Salaries to Selectman Stipends, Moderator Salary to Moderator Stipend.</t>
  </si>
  <si>
    <t>Lowered local receipts by $273 as the Sr Discount for Dog permits will be submitted as an article for FY14.</t>
  </si>
  <si>
    <t>100-241-5110</t>
  </si>
  <si>
    <t>Excess Overlay changed from zero to $25,890.48</t>
  </si>
  <si>
    <t>Medical insurance increased by updated Treasurer Request form from $352,000 to $381,000</t>
  </si>
  <si>
    <t>Parks Commission modified from $8,150 to $2,800 per 3/14 mtng with JoAnne H. One-time expenses to be requested of BOS/Building Maint.</t>
  </si>
  <si>
    <t>Renamed account 100-916-5100 from "Social Security &amp; Medicare Town Share" to "Medicare Town Share"</t>
  </si>
  <si>
    <t xml:space="preserve">Medicare Town Share </t>
  </si>
  <si>
    <t>Input WES Budget per 3/19/13 budget hearing. Resulted in a decrease of approx. 31,000 less than we had "estimated" on our own. Mostly because School Choice was repeated again this year at $40,000</t>
  </si>
  <si>
    <t>Stabilization Account Balances after FY14 ATM:</t>
  </si>
  <si>
    <t>% of
 FY14 Budget</t>
  </si>
  <si>
    <t>Updated Local Receipts from 242,000 (approx) to $225,000. $230k originally recommended by Sue.</t>
  </si>
  <si>
    <t>Updated budget with ACO &amp; PVPC FY14 requests.</t>
  </si>
  <si>
    <t>Audit article updated from 3k to 4k.</t>
  </si>
  <si>
    <t>TOTAL Tantasqua</t>
  </si>
  <si>
    <t>Grouped the School Budgets to show just the total per Deb Boyd's recommendation. At the ATM, specific line items cannot be disputed, only the bottom line.</t>
  </si>
  <si>
    <t>Confirmed the Ambulance Service as a 2.5% increase for a FY14 total of $49,792.99.</t>
  </si>
  <si>
    <t>Per discussion in 3/27 mtng, we set Treasurer's Expense to 7,000, Tax Collector Expense to 7,100 and the Planning Board Exp to $375 (a $1,000 printer request seems excessive).</t>
  </si>
  <si>
    <t>Updated the Tantasqua budget per Tantasqua Budget Hearing on 3/27/13.</t>
  </si>
  <si>
    <t>Broke out the Highway request for Seasonal help to separate line. Chose to fund for 6 months and not 8. Line item named "FY14 Seasonal Employee" to limit any long-term requests for this line item.</t>
  </si>
  <si>
    <t>Increased Highway Machine Rental to 3k, Town Garage to 500, General Highway to 16k and Beaver Control to 400.</t>
  </si>
  <si>
    <t>Maintained BOH Exp line item at level funded. No Reserve request have been received which would indicate funding for that line item is being stressed.</t>
  </si>
  <si>
    <t>Corrected proposed Insurance &amp; Bonds from 95,000 to 95,500. Was a typo.</t>
  </si>
  <si>
    <t>100-422-5120</t>
  </si>
  <si>
    <t>Balancing:</t>
  </si>
  <si>
    <t>Changes to Revenue column: Increase Free Cash from 20k to 30k, Decrease Local Receipts from 225k to 220k, Decrease Excess OL from 25,890.48 to 10k. Expense column: Inc Gen Stab in FY14 budget from 10k to 20k.</t>
  </si>
  <si>
    <t>Updated two budget line items: Decreased Veterans Assessment from $5753.95 to $2802.75 per letter from John Comerford</t>
  </si>
  <si>
    <t>Updated Library Interest Article (FC chart) from $300 to $94.57</t>
  </si>
  <si>
    <t>Library Interest Article 11</t>
  </si>
  <si>
    <t>Cap. Stabilization Article 17</t>
  </si>
  <si>
    <t>Gen. Stabilization Article 23</t>
  </si>
  <si>
    <t>Article 17 (Free Cash)</t>
  </si>
  <si>
    <t>Article 16 (Norcross)</t>
  </si>
  <si>
    <t>Decreased Local Receipts by $3,181.15 from 220,000 to 216,818.75 as a result of the above two items.</t>
  </si>
  <si>
    <t>Spreadsheet correction: Updated the total on the bottom of the Line Item tab to include the new Building Inspector line item of 1560. This created a deficit on the Budget Outline, so Local Receipts were increased by that amount.</t>
  </si>
  <si>
    <t>Per discussion with the Assessors, New Growth was reduced from 18,000 down to 12,000. To compensate, Excess OL was increased from 10,000 to 16,000. Total OL available was about 25k. Unapplied Excess OL will flow to next year's Free Cash.</t>
  </si>
  <si>
    <t>% of</t>
  </si>
  <si>
    <t xml:space="preserve"> FY13 Budget</t>
  </si>
  <si>
    <t xml:space="preserve">Corrected typo in the Tantasqua Transportation line from $47,887 to $47,087. </t>
  </si>
  <si>
    <t>Net change of the above two items requires a $484 decrease in Local Receipts from to $218,378.85 to $217,894.85.</t>
  </si>
  <si>
    <t>Update to Free Cash Usage table: Library Interest article changed from 94.57 to 157.72</t>
  </si>
  <si>
    <t xml:space="preserve">Correction: WES Special Education line increased by $316 to $130,316 per Deb Boyd. </t>
  </si>
  <si>
    <t>Article 24 (Free Cash)</t>
  </si>
  <si>
    <t>FY15</t>
  </si>
  <si>
    <t>PUBLIC SAFETY - ANIMAL CONTROL</t>
  </si>
  <si>
    <t>ADA Compliance</t>
  </si>
  <si>
    <t>Emergency Notification System</t>
  </si>
  <si>
    <t>Town Office expense*</t>
  </si>
  <si>
    <t>Jan - Feb 20</t>
  </si>
  <si>
    <t>Input budget requests received to date</t>
  </si>
  <si>
    <t>Group the School Budgets to show just the total per Deb Boyd's recommendation. At the ATM, specific line items cannot be disputed, only the bottom line.</t>
  </si>
  <si>
    <t>Run budget by Deb prior to printing.</t>
  </si>
  <si>
    <t>IT Expenses</t>
  </si>
  <si>
    <t>No change to salary items. These are marked in red until a % has been determined.</t>
  </si>
  <si>
    <t>Nothing submitted for Central Procurement estimate so far. Estimated at $15,000 until Kaye/Sue provide an update.</t>
  </si>
  <si>
    <t>Town Clerk salary increased by $1,000 after thorough review of current hourly rate and hours worked. Raise is a 6% increase.</t>
  </si>
  <si>
    <t>Conservation Stipend to be approved by BOS. Increase request from $500 to $1,000 not approved until BOS sign-off received.</t>
  </si>
  <si>
    <t>Conservation Comm. Exp request from 900 to 2000 partially approved. Request to send all members to mtngs 2x/year cut to meeting expense for only 1 meeting per year per member. Request for books not approved to give time to determine if they are available online (for free).</t>
  </si>
  <si>
    <t>Wales Elem budget added. TRSD budget not yet received, but copied over level funding until budget received. Word from Deb Boyd is that Tantasqua could be a $60,000 DECREASE for the town, but not counting on it yet.</t>
  </si>
  <si>
    <t>Highway request to move Seasonal employee to FT employee not approved. FinCom does not feel it wise to add another FT employee due to increased salary expense and eligibility to health care and other benefits. Line item was not intended to be permanant, however FinCom decided to continue to Seasonal Employee line item for one more year.</t>
  </si>
  <si>
    <t>FinCom did not approve Historical Commission request of $2,500 to $5,000. Expenses relating to upkeep of the Old Town Hall should be requested from the Building Maint. line item.</t>
  </si>
  <si>
    <t>CHANGES TO THE OUTLINE:</t>
  </si>
  <si>
    <t>New Growth figure of $10,000 received from Assessors</t>
  </si>
  <si>
    <t>Local Receipts figure not yet received. Estimated at $200,000. Was $217,000 in FY14.</t>
  </si>
  <si>
    <t>Excess Overlay and Overlay Allowance figures not yet received from Assessors. Items estimated at $10,000 and $28,000 respectively.</t>
  </si>
  <si>
    <t>All other EXPENSE amounts on the Outline have been estimated by taking the HIGHER of Actual FY14 amounts or FY15 Governor's Budgeted amounts.</t>
  </si>
  <si>
    <t>All other RECEIPT amounts on the Outline have been estimated by taking the LOWER of Actual FY14 amounts or FY15 Governor's Budgeted amounts.</t>
  </si>
  <si>
    <t>Audit Article amount of $4000 reduced to zero as total amount needed has been budgeted. $4000 will be needed in FY16, but not FY15.</t>
  </si>
  <si>
    <t>School Choice should be no less than $58,677. Line item increased to $90,000 to accommodate additional students added after budget approval.</t>
  </si>
  <si>
    <t>Deleted "Annual Formula Local Aid" line from Outline. Was in FY14 Gov budget but never funded. Was not in FY15 Gov budget either.</t>
  </si>
  <si>
    <t>Unrestricted Local Aid</t>
  </si>
  <si>
    <t>Planning Board. Increase of $1,200 to their Expense line item not approved. Request was for AC installation. Notified PB that this expense should be requested from the Building Maintenance line item.</t>
  </si>
  <si>
    <t>Input conservative amounts to FY15 Budget Outline.</t>
  </si>
  <si>
    <r>
      <rPr>
        <b/>
        <u/>
        <sz val="10"/>
        <color theme="1"/>
        <rFont val="Arial"/>
        <family val="2"/>
      </rPr>
      <t>Budget Outline legend:</t>
    </r>
    <r>
      <rPr>
        <sz val="10"/>
        <color theme="1"/>
        <rFont val="Arial"/>
        <family val="2"/>
      </rPr>
      <t xml:space="preserve">
</t>
    </r>
    <r>
      <rPr>
        <sz val="10"/>
        <color rgb="FFFF0000"/>
        <rFont val="Arial"/>
        <family val="2"/>
      </rPr>
      <t>Red = Values entered but continued discussion required</t>
    </r>
    <r>
      <rPr>
        <sz val="10"/>
        <color theme="1"/>
        <rFont val="Arial"/>
        <family val="2"/>
      </rPr>
      <t xml:space="preserve">
</t>
    </r>
    <r>
      <rPr>
        <sz val="10"/>
        <color rgb="FF0070C0"/>
        <rFont val="Arial"/>
        <family val="2"/>
      </rPr>
      <t>Blue = Estimated FY15 Values</t>
    </r>
    <r>
      <rPr>
        <sz val="10"/>
        <color theme="1"/>
        <rFont val="Arial"/>
        <family val="2"/>
      </rPr>
      <t xml:space="preserve">
Black = Final Proposed FY15 Values
</t>
    </r>
    <r>
      <rPr>
        <b/>
        <u/>
        <sz val="10"/>
        <color theme="1"/>
        <rFont val="Arial"/>
        <family val="2"/>
      </rPr>
      <t>Budget Legend:</t>
    </r>
    <r>
      <rPr>
        <b/>
        <sz val="10"/>
        <color theme="1"/>
        <rFont val="Arial"/>
        <family val="2"/>
      </rPr>
      <t xml:space="preserve">
</t>
    </r>
    <r>
      <rPr>
        <sz val="10"/>
        <color rgb="FF0070C0"/>
        <rFont val="Arial"/>
        <family val="2"/>
      </rPr>
      <t xml:space="preserve">Items in blue were carried over from prior year as no budget request was received.
</t>
    </r>
    <r>
      <rPr>
        <sz val="10"/>
        <color rgb="FFFF0000"/>
        <rFont val="Arial"/>
        <family val="2"/>
      </rPr>
      <t>Red = Values entered but continued discussion required</t>
    </r>
  </si>
  <si>
    <t>notify Bill B</t>
  </si>
  <si>
    <t>notify Leis P</t>
  </si>
  <si>
    <t>notfify Bev or Mickey B</t>
  </si>
  <si>
    <t>notify Bruce C</t>
  </si>
  <si>
    <t>DONE</t>
  </si>
  <si>
    <t>PVPC Assessment received. $300 estimate provided by Sue went down to $275.70.</t>
  </si>
  <si>
    <t>Copied over non-PD budgets as level-funded until discussion</t>
  </si>
  <si>
    <t>Removed ACO Forms Printing line item for $200. Expense handled in FY14.</t>
  </si>
  <si>
    <t>Excess Overlay</t>
  </si>
  <si>
    <t>Corrected Debt Exclusion on Outline from 22,260 to 22,060.</t>
  </si>
  <si>
    <t>Corrected Treasurer's Interest on Loans. Amount of $3,000 carried over from Requested to Proposed column</t>
  </si>
  <si>
    <t>Free Cash</t>
  </si>
  <si>
    <t>Renamed Moderator Salary to Moderator Stipend</t>
  </si>
  <si>
    <t>TRSD budget request added. Represents a $61,752 decrease from last year.</t>
  </si>
  <si>
    <t>Removed Oct 2011 snowstorm (ended FY13) and Highway Truck Bond (ended FY13) from Budget Details. No change in amounts, just a cleanup item.</t>
  </si>
  <si>
    <t>notfiy Dave W/Becky</t>
  </si>
  <si>
    <t>Moderator Stipend</t>
  </si>
  <si>
    <t>Selectman Stipend</t>
  </si>
  <si>
    <t>Updated all town employees to receive a 1.25% increase as this matches the school teacher's percent increase for FY15. Stipend amounts are unchanged unless separately approved by BOS.</t>
  </si>
  <si>
    <t>Renamed Selectmen Salary to Selectmen Stipend</t>
  </si>
  <si>
    <t>Increased Unemployment and Decreased 43B line items as requested by Lynn Greene.</t>
  </si>
  <si>
    <t>Per conversation with Deb Boyd, reduced WES budget by $30,000 and decreased the amount of School Choice coming to the Town from $40,000 to $35,000. Net of +$25,000 in FY15.</t>
  </si>
  <si>
    <t>Spoke with Judy J. Advised that FinCom will not be approving the $4,000 expense increase as it was not for a specific item and she has not gone over budget in any previous years. Offered the following alternatives if unexpected expenses arise: 1) Make a Reserve Fund request if needed or 2) Put in a request for the Building Maint account.</t>
  </si>
  <si>
    <t>notify Judy</t>
  </si>
  <si>
    <t>Spoke with Nancy and advised her that Director salary should not increase more than 1.25% for FY15. The total of $48,505 was said to be required to maintain certification. This means that the additional $308.49 needs to be spread out amongst one or more of the following: Libarian Salary, Librarian Custodian or Library Expenses. Awaiting response, trustee meeting to be held on 3/17 in the evening. Additional amount is applied to Library Expense until otherwise noted.</t>
  </si>
  <si>
    <t>notify Nancy</t>
  </si>
  <si>
    <t>Per correspondence with Bill Terry (Lake Association), 2014 (FY15) will be a bi-year and so no funding will be necessary. Will be back to needing $3,000 in FY16.</t>
  </si>
  <si>
    <t>Assessors State Mandated Interim Reval.</t>
  </si>
  <si>
    <t>Moved funding of OPEB article and the (tentative) Harper's Payroll article funding out of the budget so they would be funded by Free Cash. See Free Cash Usage table.</t>
  </si>
  <si>
    <t>Balancing needed as there is currently Excess Revenues</t>
  </si>
  <si>
    <t>2.5% increase amount over prior year Tax Levy calculation (FY13 x 2.5%) is now truncated to two decimals so as to balance the Budget Outline total.</t>
  </si>
  <si>
    <t>Emergency Mgmt Director Stipend</t>
  </si>
  <si>
    <t>Total Revenues</t>
  </si>
  <si>
    <t>Total Expenses</t>
  </si>
  <si>
    <t>Added an additional year of historical data (FY12-FY14) + current year. Also slight change to layout of numbers on the Outline, total values were unchanged.</t>
  </si>
  <si>
    <t>Total Other Expenses</t>
  </si>
  <si>
    <t>Article 24 (FY14 Budget)</t>
  </si>
  <si>
    <t>Ch 70 (School Funding)</t>
  </si>
  <si>
    <t>FY08</t>
  </si>
  <si>
    <t>FY09</t>
  </si>
  <si>
    <t>FY10</t>
  </si>
  <si>
    <t>FY14 est.</t>
  </si>
  <si>
    <t>IT Maintenance, Hardware &amp; software purchases (Horvath)</t>
  </si>
  <si>
    <t>FY15 IT Line Item makeup</t>
  </si>
  <si>
    <t>Parts and labor relating to workstation and network maintenance/upgrades.</t>
  </si>
  <si>
    <t>Town Website</t>
  </si>
  <si>
    <t>Town Office</t>
  </si>
  <si>
    <t>Town Clerk</t>
  </si>
  <si>
    <t>Assessors</t>
  </si>
  <si>
    <t>Library</t>
  </si>
  <si>
    <t>Treasurer</t>
  </si>
  <si>
    <t>Building Maint</t>
  </si>
  <si>
    <t>IT Expense Line Item Research</t>
  </si>
  <si>
    <t>Revised IT expense estimate from $2,000 to $7,300. Possible reductions to other town accounts after additional research.</t>
  </si>
  <si>
    <t>Purchase of 2 new pcs per year, replacing the oldest town-owned pc when feasible.</t>
  </si>
  <si>
    <t>Level funded the following areas as no budget was receieved: Emerg. Mgmt, Tantasqua, Mod. Salary, Central Procurement, ZBA, Tree Warden, Building Inspector, and the Park Commission.</t>
  </si>
  <si>
    <t>Local Receipts figure updated from 200k to 220k per Accountant</t>
  </si>
  <si>
    <t>Excell OL figure updated from 10k to 25k per Assessors</t>
  </si>
  <si>
    <t>Per email from Kaye, Central Procurement estimate for FY15 will be $16,500</t>
  </si>
  <si>
    <t>Conservation</t>
  </si>
  <si>
    <t>BOH</t>
  </si>
  <si>
    <t>Acccountant</t>
  </si>
  <si>
    <t>Tax Coll</t>
  </si>
  <si>
    <t>Norcross</t>
  </si>
  <si>
    <t>COA</t>
  </si>
  <si>
    <t>Emerg Mgmt</t>
  </si>
  <si>
    <t>Grants
Revolving Acs
Insurance Receipts</t>
  </si>
  <si>
    <t>Annual avg</t>
  </si>
  <si>
    <t>TOTALS</t>
  </si>
  <si>
    <t>Non-Budget Items</t>
  </si>
  <si>
    <t>Budgeted Items</t>
  </si>
  <si>
    <t>Dam Inspection Article</t>
  </si>
  <si>
    <t>Assessors Reval Article</t>
  </si>
  <si>
    <t>Cap. Stabilization Article</t>
  </si>
  <si>
    <t>Gen. Stabilization Article</t>
  </si>
  <si>
    <t>Audit Article</t>
  </si>
  <si>
    <t>Increased WPD proposed line items to match the requested amounts per vote of FinCom</t>
  </si>
  <si>
    <t>Voted to establish and fund the IT Expense line item at $5,300. See IT Expense Reseach spreadsheet for details</t>
  </si>
  <si>
    <t>Decreased Lake George funding from $3k to zero as no treatment is planned for the upcoming year.</t>
  </si>
  <si>
    <t>Updated the Snow &amp; Ice deficit amount to $58,061.50</t>
  </si>
  <si>
    <t>Removed the following expenses out of the budget so that they will be funded via Free Cash: Dam Inspection &amp; Assessors Reval.</t>
  </si>
  <si>
    <t>Note: The Joint Budget Committee recommended a slight increase to Unrestricted Local Aid, however we are sticking with the lower Gov projection for budgeting purposes.</t>
  </si>
  <si>
    <t>OPEB Funding Article</t>
  </si>
  <si>
    <t>Received confirmation from BOS that Ambulance is approved for $10,000</t>
  </si>
  <si>
    <t>Received confirmation from BOS that Conservation Stipend has been increased from $500 to $750.</t>
  </si>
  <si>
    <t>The following adjustments were made to arrive at a balanced budget: Local Receipts Estimates were adjusted from 220k to 194,821.82. Excess OL was increased from 28k to 30k. School Choice assessment was increased from 90k to 120k.</t>
  </si>
  <si>
    <t>Total ending budget = $3,890,941.32</t>
  </si>
  <si>
    <t>Increases over the years: FY12 = 1.76%, FY13 = 5.02%, FY14 = .21, FY15 = 1.51%</t>
  </si>
  <si>
    <t>Changes suggested by BOS: NONE</t>
  </si>
  <si>
    <t>Lynn requested a $2,000 increase to 32B for a teacher that retired from another system but some is charged back to Wales.  To accommodate this we lowered overlay allowance by $2,000.</t>
  </si>
  <si>
    <t>FINAL Total ending budget = $3,892,941.32</t>
  </si>
  <si>
    <t>100-122-5204</t>
  </si>
  <si>
    <t>100-122-5200</t>
  </si>
  <si>
    <t>Forecasted Revenues</t>
  </si>
  <si>
    <t>Forecasted Expenses</t>
  </si>
  <si>
    <t>Per BOS minutes from 10/7/14, BOS voted to set BOS Exec Sec salary to 28k</t>
  </si>
  <si>
    <t>FY16</t>
  </si>
  <si>
    <t>100-192-5700</t>
  </si>
  <si>
    <t>Added Beaver Control line item #</t>
  </si>
  <si>
    <t>Senior Center Cook</t>
  </si>
  <si>
    <t>Account #</t>
  </si>
  <si>
    <t>Carried over FY15 Outline values to FY16 and marked as BLUE as placeholders.</t>
  </si>
  <si>
    <t>Entered Recommended SC budget per Jan 2015 meeting discussion. Providing funds are available, we intend to cover the Cook position up to $6,000 in accordance with our long-standing agreement with the SC to cover this expense if the appropriate grant is not received.</t>
  </si>
  <si>
    <t>Heather aware of this change to her request.</t>
  </si>
  <si>
    <t>Highway Dept Clerk</t>
  </si>
  <si>
    <t>Increase over prior year:</t>
  </si>
  <si>
    <t>Change %</t>
  </si>
  <si>
    <t>Training</t>
  </si>
  <si>
    <t>Department</t>
  </si>
  <si>
    <t>Amount</t>
  </si>
  <si>
    <t>Schools</t>
  </si>
  <si>
    <t>Public Safety</t>
  </si>
  <si>
    <t>Boards &amp; Committees</t>
  </si>
  <si>
    <t>Public Works</t>
  </si>
  <si>
    <t>General Gov./Selectmen</t>
  </si>
  <si>
    <t>Town Office/Elected Positions</t>
  </si>
  <si>
    <t>Senior Center</t>
  </si>
  <si>
    <t>Employee Benefits/Retirement</t>
  </si>
  <si>
    <t>Insurance, Bonds, Debt</t>
  </si>
  <si>
    <t>100-422-5150</t>
  </si>
  <si>
    <t>100-210-5160</t>
  </si>
  <si>
    <t>100-541-5130</t>
  </si>
  <si>
    <t>Updated FinCom recommendations column with decisions discussed in our 3/12/15 meeting.</t>
  </si>
  <si>
    <t>Updated the Increase in Salary testing cells (column N) to reference FY15 values instead of FY14.</t>
  </si>
  <si>
    <t>Updated Budget Outline with Governor's budget numbers (these are not final)</t>
  </si>
  <si>
    <t>Updated Budget Outline with current Snow and Ice deficit amount</t>
  </si>
  <si>
    <t>Increased ballpark estimate of Ch 32B expense from 411k to 420k based on conversation with Treasurer L. Greene.</t>
  </si>
  <si>
    <t>Added account #s for the following new line items: SC Cook, WPD Training</t>
  </si>
  <si>
    <t>Confirmed 10k of School Choice funding the FY16 budget. FY17 and going forward will be zero.</t>
  </si>
  <si>
    <t>Updated Tantasqua School Bond and  Regional Transportation line items.</t>
  </si>
  <si>
    <t>Norcross Account</t>
  </si>
  <si>
    <t>Ending Balance</t>
  </si>
  <si>
    <t>EXPENDITURES</t>
  </si>
  <si>
    <t>CONTRIBUTIONS</t>
  </si>
  <si>
    <t>Removed Excess Overlay amount as we are not expecting any this year. As of this point, no confirmation has been received just yet.</t>
  </si>
  <si>
    <t>Audit Article amount of $4000 reduced to zero as total amount needed has been budgeted. $4000 will be needed in FY17, but not FY15 or FY16.</t>
  </si>
  <si>
    <t>Budget is in deficit at this point. $30k in Free Cash moved in to support the budget.</t>
  </si>
  <si>
    <t>Increased FD Members line item by 12,500 to allow for hourly pay for firefighters on duty and for training exercises. Funding was half of the requested $25k and will not begin until January 1, 2016. In FY17, the goal is to increase funding again by 12,500 to the full 25k.</t>
  </si>
  <si>
    <t>Minimum Library Required amount determined to be $49,706 after talking with Uechi NG at the Mass Board of Library Commissioners. After adding 2% for salary line items, expense line item increased by $600.77 to meet total department requirement of 49,706 amount.</t>
  </si>
  <si>
    <t>Based on estimates provided by Amy Bishop, the Insurance and Bonds line was updated to $101,900, broken out as follows:
HUB International insurance: $100,000
Tax Collector and Treasurer bonds: $795 (rounded up to $800)
Assistant Tax Collector and Treasurer bonds: $700
Town Clerk and constables: $400</t>
  </si>
  <si>
    <t>Letter sent 4/7/15 to Library Board of Trustees</t>
  </si>
  <si>
    <t>Fire Dept. Members Wages</t>
  </si>
  <si>
    <t>Board of Health stipend increase percent, per BOS decision, is increased by 1.5%</t>
  </si>
  <si>
    <t>Email sent to BOH on 4/8/15</t>
  </si>
  <si>
    <t>Updated Outline to include 15,000 being released from Excess Overlay.</t>
  </si>
  <si>
    <t>Free Cash going into the FY16 budget was modified again to include the following changes: Increase of $7,000 for the FY16 Police Pistol Purchase
Decrease of $15,000 due to the Excess Overlay change
Budget increase of $6,400 in the Insurance &amp; Bonds line item
Budget decrease of the BOH stipend line item, and 
Budget update of the Library Expense line item to be in accordance with Minimum funding req.
Free Cash going into the budget after this change = 28,252.19</t>
  </si>
  <si>
    <t>Increases over the years: 
FY12 = 1.76%, FY13 = 5.02%, FY14 = .21, FY15 = 1.51%, FY16 = 3.91%</t>
  </si>
  <si>
    <t>Veterans Benefit</t>
  </si>
  <si>
    <t xml:space="preserve">Available Certified Free Cash: </t>
  </si>
  <si>
    <t>Per discussion last year, $800 will be added to BOS budget for Beaver Control.</t>
  </si>
  <si>
    <t>Quite a few budgets not received on time. Any budgets not yet received were level-funded until we hear otherwise from the committees.</t>
  </si>
  <si>
    <t>All BOS items except salary were requested to be level-funded per email from Amy. Amy starting salary was 28k. New beaver control line item under BOS to be funded at $800</t>
  </si>
  <si>
    <t>WPD: Training is currently up to date (mostly), but it is being pulled from Salary expense. Rather than start a new line item at $4,000 as requested, FinCom is recommending a 2 year phase in of Training funds ($2,000 in FY16 and again in FY17 to a total of $4,000). This will allow for more patrol hours since the Salary line item will no longer used for training.</t>
  </si>
  <si>
    <t>Deleted Highway Garage Maint. line item which was $0 since it was merged with General Highwy in FY15.</t>
  </si>
  <si>
    <t>Updated Pie Chart to reference Proposed values and not Requested.</t>
  </si>
  <si>
    <t>Updated Available Certified Free Cash amount to $186,848</t>
  </si>
  <si>
    <t>Updated all town employees to receive a 2.0% increase. Stipend amounts are unchanged unless separately approved by BOS.</t>
  </si>
  <si>
    <r>
      <t xml:space="preserve">Final proposed FY16 budget is $4,045,030.54, which is a 3.91% increase over last year.
</t>
    </r>
    <r>
      <rPr>
        <b/>
        <sz val="10"/>
        <color theme="1"/>
        <rFont val="Arial"/>
        <family val="2"/>
      </rPr>
      <t>The following items were the largest budget increases for FY16:</t>
    </r>
    <r>
      <rPr>
        <sz val="10"/>
        <color theme="1"/>
        <rFont val="Arial"/>
        <family val="2"/>
      </rPr>
      <t xml:space="preserve">
Roof being added to the WES Gymnasium: $25,000
School budget Increases (not including the roof expense): $32,378
Employee Benefits/Retirement: $29,311
WFD Member Wages while on duty/training: $12,500
Highway Snow &amp; Ice Wages: $10,000
One item pistol purchase by the WPD: $7,000
Insurance: $6,400
Senior Center Cook: $6,000
Assessors Cyclical Revaluation required every 10 years: $3,625
Highway Dept Clerk: $3,120
</t>
    </r>
  </si>
  <si>
    <t>School budgets forwarded to Deb Boyd for final review.</t>
  </si>
  <si>
    <t xml:space="preserve">Changes suggested by BOS:
</t>
  </si>
  <si>
    <t>Beginning Balance</t>
  </si>
  <si>
    <t>Sent 4/8/15 and response received same day.</t>
  </si>
  <si>
    <t>FY17</t>
  </si>
  <si>
    <t>Correspondance</t>
  </si>
  <si>
    <t>FY17 spreadsheet setup and FY16 Outline values copied to the FY17 Outline and marked as blue as placeholders.</t>
  </si>
  <si>
    <t>Based on Proposed Amounts</t>
  </si>
  <si>
    <t>Reserve Fund Transfers History</t>
  </si>
  <si>
    <t>Funded</t>
  </si>
  <si>
    <t>Dept./Board/Committee</t>
  </si>
  <si>
    <t>Explanation</t>
  </si>
  <si>
    <t>Transfer</t>
  </si>
  <si>
    <t>n/a</t>
  </si>
  <si>
    <t>For purchase of new voting machine, offered at deep discount</t>
  </si>
  <si>
    <t>Date</t>
  </si>
  <si>
    <t>Veteran's Benefit</t>
  </si>
  <si>
    <t>Unexpected increase in benefits to existing and new veterans in town</t>
  </si>
  <si>
    <t>Remainder of originally requested amount (10,010.84)</t>
  </si>
  <si>
    <t>Transfers during FY16</t>
  </si>
  <si>
    <t>Transfers during FY13</t>
  </si>
  <si>
    <t>Transfers during FY15</t>
  </si>
  <si>
    <t>Transfers during FY14</t>
  </si>
  <si>
    <t>TRSD Debt Refund</t>
  </si>
  <si>
    <t>Added all budget requested values as received to date.</t>
  </si>
  <si>
    <t>Received and entered the WPD and both school budgets.</t>
  </si>
  <si>
    <t>FY17 Budget Outline numbers added in. Revenue amounts are based on last year's actual numbers OR the Governor's FY17 budget, whichever is lower. Expense amounts are based on last year's actual numbers OR the Governor's FY17 budget, whichever is higher.</t>
  </si>
  <si>
    <t>Conservation Commission stipend is in red as they made a request to BOS to increase this value. May need to adjust when BOS decision received.</t>
  </si>
  <si>
    <t>Overestimated the Brimfield Ambulance and 'Insurance and Bonds' until correct values are delivered. As noted below, these estimates are in blue to indicate that they are not final budget request numbers.</t>
  </si>
  <si>
    <r>
      <rPr>
        <b/>
        <sz val="14"/>
        <color theme="0"/>
        <rFont val="Times New Roman"/>
        <family val="1"/>
      </rPr>
      <t>Stabilization Accounts</t>
    </r>
    <r>
      <rPr>
        <b/>
        <sz val="13"/>
        <color theme="0"/>
        <rFont val="Times New Roman"/>
        <family val="1"/>
      </rPr>
      <t xml:space="preserve">
</t>
    </r>
    <r>
      <rPr>
        <b/>
        <sz val="10"/>
        <color theme="0"/>
        <rFont val="Times New Roman"/>
        <family val="1"/>
      </rPr>
      <t>as Proposed in the Warrant</t>
    </r>
  </si>
  <si>
    <t>TOTAL AMOUNT APPROPRIATED</t>
  </si>
  <si>
    <t>Slight reformat of some pages.</t>
  </si>
  <si>
    <t>Added Reserve Fund History page. To assist in determining if some accounts should be increased when continually overshooting their budget.</t>
  </si>
  <si>
    <t>Type</t>
  </si>
  <si>
    <r>
      <t xml:space="preserve">1 = Compare Prior Yr Budgeted to Current Yr </t>
    </r>
    <r>
      <rPr>
        <sz val="9"/>
        <color rgb="FFFF0000"/>
        <rFont val="Arial"/>
        <family val="2"/>
      </rPr>
      <t>REQUESTED</t>
    </r>
  </si>
  <si>
    <t>Seasonal Payroll</t>
  </si>
  <si>
    <t>Highway Dept: Removed the year-specific part of the Seasonal Employee line item name.</t>
  </si>
  <si>
    <t>Received the following information via email from the Assessors: Overlay Allowance = $40,000. New Growth = $7,000</t>
  </si>
  <si>
    <t>Account</t>
  </si>
  <si>
    <t>Per Accountant, very little if any excess overlay is available for release. FinCom will assume zero unless we hear otherwise from BOA.</t>
  </si>
  <si>
    <t>Per discussion during 2/25 FinCom meeting:</t>
  </si>
  <si>
    <t>Voted to submit article for audit and change amount from the usual 4k to 6k due to the possibility of an audit of FY16 due to the new tri-town CDBG grant. Currently we have $16,500 encumbered for audits. The recently concluded audit of FY15 should cost between 12-14k. If required, the FY16 audit could cost about 12k and would be funded as follows: 2,500 left over in encumbered account balance + 6000 from the article being submitted in May 2016 + approx. 3500 will need to be requested from Reserve.</t>
  </si>
  <si>
    <t>Letter sent to Sue on 2/26/16.</t>
  </si>
  <si>
    <t>BOS</t>
  </si>
  <si>
    <t>Created &amp; funded new "town-wide" Beaver Control line item</t>
  </si>
  <si>
    <t>TC Expense</t>
  </si>
  <si>
    <t>Veterans</t>
  </si>
  <si>
    <t>Senior Meal Gift Ac</t>
  </si>
  <si>
    <t>Veterans Benefits</t>
  </si>
  <si>
    <t>Central Procurement</t>
  </si>
  <si>
    <t>Highway</t>
  </si>
  <si>
    <t>End of year transfer</t>
  </si>
  <si>
    <t>Payroll</t>
  </si>
  <si>
    <t>Highway / Transfer Station</t>
  </si>
  <si>
    <t>Payroll / TS Expense</t>
  </si>
  <si>
    <t>Fire Dept</t>
  </si>
  <si>
    <t>Vehicle Maint.</t>
  </si>
  <si>
    <t>Building Maint.</t>
  </si>
  <si>
    <t>Office Equip</t>
  </si>
  <si>
    <t>Gas &amp; Oil</t>
  </si>
  <si>
    <t>Contract underfunded</t>
  </si>
  <si>
    <t>Unclassified</t>
  </si>
  <si>
    <t>Unemployment</t>
  </si>
  <si>
    <t>Per ATM article 7</t>
  </si>
  <si>
    <t>Finance Committee</t>
  </si>
  <si>
    <t>FC Expense</t>
  </si>
  <si>
    <t>To cover training expense overage</t>
  </si>
  <si>
    <t>Transfer Station</t>
  </si>
  <si>
    <t>TS Expense</t>
  </si>
  <si>
    <t>End of year transfer to cover deficit</t>
  </si>
  <si>
    <t>ATB Interest &amp; Interest on Loans</t>
  </si>
  <si>
    <t>Machinery Repair</t>
  </si>
  <si>
    <t>32B &amp; Insurance</t>
  </si>
  <si>
    <t>Multiple</t>
  </si>
  <si>
    <t>End of year transfers to Central Procurement, Medicare and S&amp;I</t>
  </si>
  <si>
    <t>End of year transfers to Transfer Station and October 2011 snowstorm</t>
  </si>
  <si>
    <t>Senior Center Expense for $2,000 for fuel exp. $1,000 HWY Machine repairs</t>
  </si>
  <si>
    <t>Called Euchi NG at the Mass Board of Library Commissioners to determine the Certification amounts for the last three years as these amounts are used to determine the minimum funding required to maintain certification. Those amounts added as a comment on the Library Expenses line on the Budget Detail tab. Min FY17 funding must be at least = $50,559.</t>
  </si>
  <si>
    <t>Sent email to Nancy to notify her of this amount.</t>
  </si>
  <si>
    <t>Added Snow &amp; Ice Deficit amount to outline = -9,448 (S&amp;I Exp of -20,034, S&amp;I wages of 10,586)</t>
  </si>
  <si>
    <t>GENERAL GOVERNMENT - INSPECTORS</t>
  </si>
  <si>
    <t>Inspectors Clerk</t>
  </si>
  <si>
    <t>The Building Inspector Clerk account name was renamed to Inspectors Clerk so as to match the actual usage of the account. This account is used to pay one person who serves as clerk to the Building Inspector, Gas, Electric and Plumbing inspectors. As a note, the clerk is earning $10/hr instead $11/hr, increase in pay will be coming out of this account.</t>
  </si>
  <si>
    <t>Letter sent to PB on 3/11/2016.</t>
  </si>
  <si>
    <t xml:space="preserve">1.75% recommended salary increase
</t>
  </si>
  <si>
    <t>Approved a $600 increase in Planning Board Expense account for purposes of Legal Advice.</t>
  </si>
  <si>
    <t>Emergency Overtime</t>
  </si>
  <si>
    <t>Licenses</t>
  </si>
  <si>
    <t>Boots, Tools &amp; Clothing Allowances</t>
  </si>
  <si>
    <t>Per email from Treasurer, Interest on Loans for FY17 should be $500</t>
  </si>
  <si>
    <t>Central Procurement - Utilities</t>
  </si>
  <si>
    <t>County Retirement Assessment</t>
  </si>
  <si>
    <t>TH Custodial</t>
  </si>
  <si>
    <t>Budgeted for 2 hrs/week, but later approved 3 hrs/week.</t>
  </si>
  <si>
    <t>Heating expenses historically paid out of Building Maint were shifted to Central Procurement.</t>
  </si>
  <si>
    <t>SC Cook position:
Currently assumes 15hrs/week, calculated as:
26wks x 15hrs x $10/hr = 3,900
26wks x 15hrs x $11/hr = 4,290
Tota: $8,190
Amount to be modified after BOS confirms SR Cook hours. Then will be approved hrs x min wage.
If approved for 19hrs/week, then amount should be $10,374</t>
  </si>
  <si>
    <t>Approved SC Expense increase of $300 of the $1,000 requested. $300 to help fund the semi-annual Ansul System inspections for the ovens.</t>
  </si>
  <si>
    <t>Veterans Regional Assessment level funded at $3,000. No official request received. Veterans Benefit account increased from $17,500 to $25,000 per Treasurer budget request.</t>
  </si>
  <si>
    <t>Outline updates:
Moved TRSD bond refund of $680 up near local receipts instead of Other receipts.
Updated Snow &amp; Ice estimate to include $302 invoice from latest snowfall last week. Information provided by B Cadieux. ($9448+302 = $9,750 deficit)</t>
  </si>
  <si>
    <r>
      <t xml:space="preserve">2 = Compare Prior Yr Budgeted to Current Yr </t>
    </r>
    <r>
      <rPr>
        <sz val="9"/>
        <color rgb="FFFF0000"/>
        <rFont val="Arial"/>
        <family val="2"/>
      </rPr>
      <t>PROPOSED</t>
    </r>
  </si>
  <si>
    <t>Office Supplies</t>
  </si>
  <si>
    <t>Received the FY17 Veteran's Regional Assessment of 2924.48. Was previously listed as $3,000.</t>
  </si>
  <si>
    <t>$1661.42 added to Snow &amp; Ice amount per estimates provided by Bruce from April 4, 2016 snowstorm.</t>
  </si>
  <si>
    <t>Custodian Wages</t>
  </si>
  <si>
    <t>Town Clerk Assistant Wages</t>
  </si>
  <si>
    <t>Town Accountant Assistant Wages</t>
  </si>
  <si>
    <t>Treasurer Assistant Wages</t>
  </si>
  <si>
    <t>Tax Collector Clerk</t>
  </si>
  <si>
    <t>Police Wages</t>
  </si>
  <si>
    <t>Not officially, but in our budget spreadsheet only, the following accounts were renamed to accurately remove the word Salary: TH Custodian Wages, Town Clerk Assistant Wages, Town Accountant Assistant Wages, Treasurer Assistant Wages, Tax Collector Clerk and Police Wages.</t>
  </si>
  <si>
    <t>Increased the SC Cook position to fully fund the position at 19hrs/week.</t>
  </si>
  <si>
    <t>Snow &amp; Ice Deficit</t>
  </si>
  <si>
    <t>Sent 4/12/16 and response received same day. She suggested that rows 129-133 should be expanded so as to make the debt lines visible.</t>
  </si>
  <si>
    <r>
      <t xml:space="preserve">Final proposed FY17 budget is $4,102,354.13, which is a 1.29% increase over last year.
</t>
    </r>
    <r>
      <rPr>
        <b/>
        <sz val="11"/>
        <rFont val="Arial"/>
        <family val="2"/>
      </rPr>
      <t>The following items were the largest budget increases for FY17:</t>
    </r>
    <r>
      <rPr>
        <sz val="11"/>
        <rFont val="Arial"/>
        <family val="2"/>
      </rPr>
      <t xml:space="preserve">
WFD Member Wages while on duty/training. 2nd and final year to increase: $12,500
Net School budget Increases: $12,168
Reduction of School Choice funds used to offset budget: $10,000
Employee Medical/Dental Benefits: $10,000
Veteran's Benefits: $7,500
Highway Sand &amp; Salt: $5,000
Senior Center Cook: $4,374
Insurance &amp; Bonds: $4,100
Increase to Central Procurement line as heating expenses have been correctly moved from Town Property Maint. Expense line to this line: $3,000</t>
    </r>
  </si>
  <si>
    <r>
      <t xml:space="preserve">Increases over the years: 
</t>
    </r>
    <r>
      <rPr>
        <sz val="11"/>
        <rFont val="Arial"/>
        <family val="2"/>
      </rPr>
      <t xml:space="preserve">
FY17 = 1.29% (proposed)
FY16 = 3.91%
FY15 = 1.51%
FY14 = .21%
FY13 = 5.02%
FY12 = 1.76%</t>
    </r>
  </si>
  <si>
    <t>Removed the collapsing of the school budget in order to show all rows.</t>
  </si>
  <si>
    <t>Sent confirmation of vote to Heather on 4/12/16.</t>
  </si>
  <si>
    <t>Per Sue Hilker, there may or may not be an audit of FY16 costing at least 14k (rather than12k as we originally thought). Any shortfalls for an audit in FY17 will have to come from Reserve. Sue also stated that if we don't have an audit in FY17, we will most likely have one in FY18 (of FY17). So most likely, we should maintain 6k going into the audit article in both FY17 and FY18.</t>
  </si>
  <si>
    <t>BOS did not approve the Conservation Comm. request for a stipend increase. Will be level funded.</t>
  </si>
  <si>
    <t>FinCom voted to increase TH Custodian and Central Procurement for FY17 by the amounts requested from the Reserve Fund in FY16.</t>
  </si>
  <si>
    <t>Updated the Budget Outline estimates to arrive at a balanced budget: Changes included reduction of estimated Local Receipts and Increases in Excess Overlay to account for the possible approval of the Senior Tax Abatement article. Also increased the School Choice Expense estimate by $5,000 to $125k</t>
  </si>
  <si>
    <t xml:space="preserve">Changes suggested by BOS: None
</t>
  </si>
  <si>
    <t>Reviewed Library minimum amount and determined that the stated amount of $50,256 was correct. It was also determined that the requested salary increases of 8 and 10% would most likely not be recommended. However, a final pay change would not be determined until the other dept. salary line items are discussed. Expense amount of 19,571.54 was approved.</t>
  </si>
  <si>
    <t>Departments or line items for which no budget were received were level funded and marked in blue to indicate no request was received. Adding these numbers in helps to determine the scope of the changes in the FY17 budget. Requested values will be entered if received.</t>
  </si>
  <si>
    <t>Budget Outline: School Choice under Expenses was over estimated from 73k to 120k as this value is consistently unreliable, usually for the worse. Was as high as 133k in FY13 and it was a surprise as the estimated in that year was closer to 85k.</t>
  </si>
  <si>
    <t>Updated the Free Cash Usage chart to include Audit expense of $4,000</t>
  </si>
  <si>
    <t>Summary of Accounts as of:</t>
  </si>
  <si>
    <t>New propane tanks/connections at TH; safety violation corrections</t>
  </si>
  <si>
    <t>Mostly for 3 Main St.; covers bills for next 2 months</t>
  </si>
  <si>
    <t>Cook Position</t>
  </si>
  <si>
    <t>Full request amt was $986. Requested that SC move remaining funds needed from other SC accounts such as SC Vehicle Maint.</t>
  </si>
  <si>
    <t>FY18</t>
  </si>
  <si>
    <t>Transfers during FY17</t>
  </si>
  <si>
    <t>Commissioner Boots, Tools &amp; Clothing Allowance</t>
  </si>
  <si>
    <t>Long Term Debt Interest</t>
  </si>
  <si>
    <t>Town Clerk Certification Stipend</t>
  </si>
  <si>
    <t>Treasurer Certification Stipend</t>
  </si>
  <si>
    <t>Collector Certification Stipend</t>
  </si>
  <si>
    <t>Uniforms</t>
  </si>
  <si>
    <t>Expenses</t>
  </si>
  <si>
    <t>Pro-rated certification stipend</t>
  </si>
  <si>
    <t>Fire Dept. Gear Replacement</t>
  </si>
  <si>
    <t>New Equipment</t>
  </si>
  <si>
    <t>Machine Rental</t>
  </si>
  <si>
    <t>To assist during backhoe-loader transition/purchase.</t>
  </si>
  <si>
    <t>FY18 Overlay Allowance</t>
  </si>
  <si>
    <t>Senior Center Van Driver</t>
  </si>
  <si>
    <t>Percent</t>
  </si>
  <si>
    <t>Insurance, Bonds and Workers Comp</t>
  </si>
  <si>
    <t>Accountant Certification Stipend</t>
  </si>
  <si>
    <t>FY18 Proposed Budget</t>
  </si>
  <si>
    <t>Public Hearing on FY18 Budget  - April 6, 2017</t>
  </si>
  <si>
    <t>Accountant</t>
  </si>
  <si>
    <t>Certification</t>
  </si>
  <si>
    <t>This is a DRAFT version of the FY18 Budget that will be presented by the Finance Committee and the Board of Selectmen. This may not be the final version of the FY18 Budget.
April 6, 2017</t>
  </si>
  <si>
    <t>Annual Town Meeting  -  May 17, 2017</t>
  </si>
  <si>
    <t>To assist with funding for joint town grant. Wales portion is $5,000.</t>
  </si>
  <si>
    <t>For purchase of laptop</t>
  </si>
  <si>
    <t>Veteran Benefits</t>
  </si>
  <si>
    <t>Unexpected layout</t>
  </si>
  <si>
    <t>Outstanding expenses</t>
  </si>
  <si>
    <t>For purchase of laptop, incorrect amount requested on 5/4/17</t>
  </si>
  <si>
    <t>Transfers during FY18</t>
  </si>
  <si>
    <t>Fin. Mgmt Software</t>
  </si>
  <si>
    <t>Price increase in software</t>
  </si>
  <si>
    <t>Assistant Accountant</t>
  </si>
  <si>
    <t>To increase the rate of pay and hours to be similar to Assistant Treasurer.</t>
  </si>
  <si>
    <t>FY19 Budget Outline</t>
  </si>
  <si>
    <t>2018 Levy Limit</t>
  </si>
  <si>
    <t>Total 2019 Levy</t>
  </si>
  <si>
    <t>FY19</t>
  </si>
  <si>
    <t>FY19 - FY18</t>
  </si>
  <si>
    <t>PUBLIC WORKS - SNOW &amp; ICE</t>
  </si>
  <si>
    <t>Small Equipment purchase/replace</t>
  </si>
  <si>
    <t>Fire Dept. Assistant Chief (Safety Officer)</t>
  </si>
  <si>
    <t>Monson Road Engineering Article</t>
  </si>
  <si>
    <t>Charter Tuition</t>
  </si>
  <si>
    <t>Olde Home Day</t>
  </si>
  <si>
    <t>Vehicle Repair</t>
  </si>
  <si>
    <t>Moved to new section</t>
  </si>
  <si>
    <t>$6k sander purchased in absence of major plow. Approved $4k to replenish.</t>
  </si>
  <si>
    <t>To cover $14,600 repair for plow truck and $3,000 of unallowed S&amp;I.</t>
  </si>
  <si>
    <t>Police Clerk</t>
  </si>
  <si>
    <t>Excess beavers</t>
  </si>
  <si>
    <t>To cover damage at WHD to private vehicle trailer.</t>
  </si>
  <si>
    <r>
      <rPr>
        <b/>
        <sz val="9"/>
        <color theme="1"/>
        <rFont val="Calibri"/>
        <family val="2"/>
        <scheme val="minor"/>
      </rPr>
      <t>NOTE REGARDING FORECASTED VALUES:</t>
    </r>
    <r>
      <rPr>
        <sz val="9"/>
        <color theme="1"/>
        <rFont val="Calibri"/>
        <family val="2"/>
        <scheme val="minor"/>
      </rPr>
      <t xml:space="preserve">
Some forecasted revenue amounts have been </t>
    </r>
    <r>
      <rPr>
        <u/>
        <sz val="9"/>
        <color theme="1"/>
        <rFont val="Calibri"/>
        <family val="2"/>
        <scheme val="minor"/>
      </rPr>
      <t>underestimated</t>
    </r>
    <r>
      <rPr>
        <sz val="9"/>
        <color theme="1"/>
        <rFont val="Calibri"/>
        <family val="2"/>
        <scheme val="minor"/>
      </rPr>
      <t xml:space="preserve"> to provide for a conservative estimate in funds available for the upcoming year's budget. Alternatively, some forecasted expense amounts have been </t>
    </r>
    <r>
      <rPr>
        <u/>
        <sz val="9"/>
        <color theme="1"/>
        <rFont val="Calibri"/>
        <family val="2"/>
        <scheme val="minor"/>
      </rPr>
      <t>overestimated</t>
    </r>
    <r>
      <rPr>
        <sz val="9"/>
        <color theme="1"/>
        <rFont val="Calibri"/>
        <family val="2"/>
        <scheme val="minor"/>
      </rPr>
      <t>. Overestimated expenses are forecasted amounts only, not actual Increases to Expenses.</t>
    </r>
  </si>
  <si>
    <t>Other</t>
  </si>
  <si>
    <t>Grant Writer</t>
  </si>
  <si>
    <t>Chapter 32B Medical/Life/Dental (School)</t>
  </si>
  <si>
    <t>Chapter 32B Medical/Life/Dental (Town)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</si>
</sst>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quot;$&quot;#,##0.00"/>
    <numFmt numFmtId="165" formatCode="m/d/yy;@"/>
    <numFmt numFmtId="166" formatCode="[$-409]mmmm\ d\,\ yyyy;@"/>
    <numFmt numFmtId="167" formatCode="_(&quot;$&quot;* #,##0_);_(&quot;$&quot;* \(#,##0\);_(&quot;$&quot;* &quot;-&quot;??_);_(@_)"/>
    <numFmt numFmtId="168" formatCode="0.0%"/>
  </numFmts>
  <fonts count="120"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indexed="8"/>
      <name val="Arial"/>
      <family val="2"/>
    </font>
    <font>
      <b/>
      <sz val="11"/>
      <name val="Arial"/>
      <family val="2"/>
    </font>
    <font>
      <sz val="12"/>
      <color indexed="8"/>
      <name val="Arial"/>
      <family val="2"/>
    </font>
    <font>
      <sz val="10"/>
      <name val="Arial"/>
      <family val="2"/>
    </font>
    <font>
      <sz val="9"/>
      <color indexed="81"/>
      <name val="Tahoma"/>
      <family val="2"/>
    </font>
    <font>
      <b/>
      <sz val="9"/>
      <color indexed="81"/>
      <name val="Tahoma"/>
      <family val="2"/>
    </font>
    <font>
      <sz val="8"/>
      <color indexed="81"/>
      <name val="Tahoma"/>
      <family val="2"/>
    </font>
    <font>
      <b/>
      <sz val="8"/>
      <color indexed="81"/>
      <name val="Tahoma"/>
      <family val="2"/>
    </font>
    <font>
      <b/>
      <u/>
      <sz val="11"/>
      <name val="Arial"/>
      <family val="2"/>
    </font>
    <font>
      <sz val="11"/>
      <name val="Arial"/>
      <family val="2"/>
    </font>
    <font>
      <sz val="11"/>
      <color indexed="8"/>
      <name val="Arial"/>
      <family val="2"/>
    </font>
    <font>
      <sz val="11"/>
      <color indexed="10"/>
      <name val="Arial"/>
      <family val="2"/>
    </font>
    <font>
      <b/>
      <sz val="11"/>
      <color indexed="8"/>
      <name val="Arial"/>
      <family val="2"/>
    </font>
    <font>
      <u/>
      <sz val="11"/>
      <name val="Arial"/>
      <family val="2"/>
    </font>
    <font>
      <sz val="9"/>
      <name val="Arial"/>
      <family val="2"/>
    </font>
    <font>
      <b/>
      <sz val="8"/>
      <color indexed="9"/>
      <name val="Arial"/>
      <family val="2"/>
    </font>
    <font>
      <sz val="11"/>
      <color theme="1"/>
      <name val="Arial"/>
      <family val="2"/>
    </font>
    <font>
      <b/>
      <sz val="11"/>
      <color theme="0"/>
      <name val="Arial"/>
      <family val="2"/>
    </font>
    <font>
      <sz val="11"/>
      <color theme="0"/>
      <name val="Arial"/>
      <family val="2"/>
    </font>
    <font>
      <b/>
      <sz val="11"/>
      <color theme="3"/>
      <name val="Arial"/>
      <family val="2"/>
    </font>
    <font>
      <sz val="11"/>
      <color rgb="FF0070C0"/>
      <name val="Arial"/>
      <family val="2"/>
    </font>
    <font>
      <sz val="9"/>
      <color theme="3"/>
      <name val="Arial"/>
      <family val="2"/>
    </font>
    <font>
      <sz val="11"/>
      <color theme="3"/>
      <name val="Arial"/>
      <family val="2"/>
    </font>
    <font>
      <b/>
      <sz val="11"/>
      <color theme="1"/>
      <name val="Calibri"/>
      <family val="2"/>
      <scheme val="minor"/>
    </font>
    <font>
      <b/>
      <sz val="8"/>
      <color rgb="FFFF0000"/>
      <name val="Arial"/>
      <family val="2"/>
    </font>
    <font>
      <sz val="12"/>
      <color theme="1"/>
      <name val="Arial"/>
      <family val="2"/>
    </font>
    <font>
      <sz val="9"/>
      <color theme="1"/>
      <name val="Calibri"/>
      <family val="2"/>
      <scheme val="minor"/>
    </font>
    <font>
      <sz val="11"/>
      <name val="Calibri"/>
      <family val="2"/>
      <scheme val="minor"/>
    </font>
    <font>
      <b/>
      <sz val="10"/>
      <color theme="1"/>
      <name val="Arial"/>
      <family val="2"/>
    </font>
    <font>
      <sz val="10"/>
      <color theme="1"/>
      <name val="Arial"/>
      <family val="2"/>
    </font>
    <font>
      <sz val="9"/>
      <color theme="1"/>
      <name val="Arial"/>
      <family val="2"/>
    </font>
    <font>
      <sz val="11"/>
      <color rgb="FFFF0000"/>
      <name val="Calibri"/>
      <family val="2"/>
      <scheme val="minor"/>
    </font>
    <font>
      <b/>
      <sz val="12"/>
      <color theme="1"/>
      <name val="Arial"/>
      <family val="2"/>
    </font>
    <font>
      <b/>
      <sz val="16"/>
      <color theme="1"/>
      <name val="Arial"/>
      <family val="2"/>
    </font>
    <font>
      <b/>
      <sz val="11"/>
      <color rgb="FFFF0000"/>
      <name val="Calibri"/>
      <family val="2"/>
      <scheme val="minor"/>
    </font>
    <font>
      <sz val="11"/>
      <color theme="4"/>
      <name val="Calibri"/>
      <family val="2"/>
      <scheme val="minor"/>
    </font>
    <font>
      <b/>
      <sz val="11"/>
      <color theme="4"/>
      <name val="Calibri"/>
      <family val="2"/>
      <scheme val="minor"/>
    </font>
    <font>
      <sz val="11"/>
      <color rgb="FF0070C0"/>
      <name val="Calibri"/>
      <family val="2"/>
      <scheme val="minor"/>
    </font>
    <font>
      <u/>
      <sz val="11"/>
      <color theme="1"/>
      <name val="Calibri"/>
      <family val="2"/>
      <scheme val="minor"/>
    </font>
    <font>
      <u/>
      <sz val="11"/>
      <color rgb="FF0070C0"/>
      <name val="Calibri"/>
      <family val="2"/>
      <scheme val="minor"/>
    </font>
    <font>
      <b/>
      <sz val="11"/>
      <name val="Calibri"/>
      <family val="2"/>
      <scheme val="minor"/>
    </font>
    <font>
      <sz val="12"/>
      <name val="Arial"/>
      <family val="2"/>
    </font>
    <font>
      <b/>
      <sz val="16"/>
      <name val="Arial"/>
      <family val="2"/>
    </font>
    <font>
      <b/>
      <sz val="12"/>
      <name val="Arial"/>
      <family val="2"/>
    </font>
    <font>
      <sz val="11"/>
      <color rgb="FF00B050"/>
      <name val="Arial"/>
      <family val="2"/>
    </font>
    <font>
      <sz val="10"/>
      <color rgb="FFFF0000"/>
      <name val="Arial"/>
      <family val="2"/>
    </font>
    <font>
      <sz val="10"/>
      <color rgb="FF0070C0"/>
      <name val="Arial"/>
      <family val="2"/>
    </font>
    <font>
      <b/>
      <u/>
      <sz val="10"/>
      <color theme="1"/>
      <name val="Arial"/>
      <family val="2"/>
    </font>
    <font>
      <sz val="11"/>
      <color theme="9" tint="-0.249977111117893"/>
      <name val="Arial"/>
      <family val="2"/>
    </font>
    <font>
      <b/>
      <sz val="11"/>
      <color theme="9" tint="-0.249977111117893"/>
      <name val="Arial"/>
      <family val="2"/>
    </font>
    <font>
      <b/>
      <sz val="14"/>
      <name val="Calibri"/>
      <family val="2"/>
      <scheme val="minor"/>
    </font>
    <font>
      <u/>
      <sz val="10"/>
      <color theme="1"/>
      <name val="Arial"/>
      <family val="2"/>
    </font>
    <font>
      <b/>
      <sz val="10"/>
      <name val="Arial"/>
      <family val="2"/>
    </font>
    <font>
      <u/>
      <sz val="9"/>
      <color theme="1"/>
      <name val="Calibri"/>
      <family val="2"/>
      <scheme val="minor"/>
    </font>
    <font>
      <b/>
      <sz val="9"/>
      <color theme="1"/>
      <name val="Calibri"/>
      <family val="2"/>
      <scheme val="minor"/>
    </font>
    <font>
      <b/>
      <sz val="12"/>
      <color theme="1"/>
      <name val="Calibri"/>
      <family val="2"/>
      <scheme val="minor"/>
    </font>
    <font>
      <b/>
      <sz val="10"/>
      <color rgb="FFFF0000"/>
      <name val="Arial"/>
      <family val="2"/>
    </font>
    <font>
      <sz val="11"/>
      <color theme="0" tint="-0.34998626667073579"/>
      <name val="Arial"/>
      <family val="2"/>
    </font>
    <font>
      <b/>
      <sz val="11"/>
      <color rgb="FF0070C0"/>
      <name val="Calibri"/>
      <family val="2"/>
      <scheme val="minor"/>
    </font>
    <font>
      <b/>
      <sz val="14"/>
      <color theme="1"/>
      <name val="Times New Roman"/>
      <family val="1"/>
    </font>
    <font>
      <sz val="11"/>
      <name val="Times New Roman"/>
      <family val="1"/>
    </font>
    <font>
      <b/>
      <sz val="11"/>
      <name val="Times New Roman"/>
      <family val="1"/>
    </font>
    <font>
      <sz val="11"/>
      <color theme="1"/>
      <name val="Times New Roman"/>
      <family val="1"/>
    </font>
    <font>
      <b/>
      <sz val="11"/>
      <color theme="1"/>
      <name val="Times New Roman"/>
      <family val="1"/>
    </font>
    <font>
      <sz val="12"/>
      <name val="Times New Roman"/>
      <family val="1"/>
    </font>
    <font>
      <b/>
      <sz val="14"/>
      <name val="Times New Roman"/>
      <family val="1"/>
    </font>
    <font>
      <sz val="11"/>
      <color rgb="FF00B0F0"/>
      <name val="Times New Roman"/>
      <family val="1"/>
    </font>
    <font>
      <sz val="12"/>
      <color theme="1"/>
      <name val="Times New Roman"/>
      <family val="1"/>
    </font>
    <font>
      <b/>
      <sz val="12"/>
      <color rgb="FF0070C0"/>
      <name val="Arial"/>
      <family val="2"/>
    </font>
    <font>
      <sz val="11"/>
      <color rgb="FFFF0000"/>
      <name val="Times New Roman"/>
      <family val="1"/>
    </font>
    <font>
      <sz val="11"/>
      <color rgb="FF0070C0"/>
      <name val="Times New Roman"/>
      <family val="1"/>
    </font>
    <font>
      <b/>
      <sz val="11"/>
      <color theme="1"/>
      <name val="Arial"/>
      <family val="2"/>
    </font>
    <font>
      <b/>
      <sz val="12"/>
      <color theme="0"/>
      <name val="Arial"/>
      <family val="2"/>
    </font>
    <font>
      <sz val="12"/>
      <color theme="0"/>
      <name val="Calibri"/>
      <family val="2"/>
      <scheme val="minor"/>
    </font>
    <font>
      <b/>
      <sz val="13"/>
      <color theme="0"/>
      <name val="Times New Roman"/>
      <family val="1"/>
    </font>
    <font>
      <b/>
      <sz val="18"/>
      <name val="Times New Roman"/>
      <family val="1"/>
    </font>
    <font>
      <b/>
      <sz val="14"/>
      <color theme="0"/>
      <name val="Times New Roman"/>
      <family val="1"/>
    </font>
    <font>
      <i/>
      <sz val="9"/>
      <color theme="0"/>
      <name val="Times New Roman"/>
      <family val="1"/>
    </font>
    <font>
      <b/>
      <sz val="12"/>
      <color theme="0"/>
      <name val="Times New Roman"/>
      <family val="1"/>
    </font>
    <font>
      <b/>
      <sz val="10"/>
      <color theme="0"/>
      <name val="Times New Roman"/>
      <family val="1"/>
    </font>
    <font>
      <b/>
      <sz val="12"/>
      <color rgb="FFFF0000"/>
      <name val="Arial"/>
      <family val="2"/>
    </font>
    <font>
      <sz val="9"/>
      <color rgb="FFFF0000"/>
      <name val="Arial"/>
      <family val="2"/>
    </font>
    <font>
      <b/>
      <sz val="11"/>
      <color rgb="FFFF0000"/>
      <name val="Arial"/>
      <family val="2"/>
    </font>
    <font>
      <sz val="11"/>
      <color theme="0" tint="-0.499984740745262"/>
      <name val="Arial"/>
      <family val="2"/>
    </font>
    <font>
      <sz val="11"/>
      <color rgb="FFFF0000"/>
      <name val="Arial"/>
      <family val="2"/>
    </font>
    <font>
      <sz val="16"/>
      <color theme="1"/>
      <name val="Arial"/>
      <family val="2"/>
    </font>
    <font>
      <sz val="18"/>
      <color theme="1"/>
      <name val="Arial"/>
      <family val="2"/>
    </font>
    <font>
      <sz val="8"/>
      <name val="Arial"/>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DDDDD"/>
        <bgColor indexed="64"/>
      </patternFill>
    </fill>
    <fill>
      <patternFill patternType="solid">
        <fgColor theme="4" tint="-0.249977111117893"/>
        <bgColor indexed="64"/>
      </patternFill>
    </fill>
    <fill>
      <patternFill patternType="solid">
        <fgColor theme="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0" tint="-4.9989318521683403E-2"/>
        <bgColor indexed="64"/>
      </patternFill>
    </fill>
  </fills>
  <borders count="44">
    <border>
      <left/>
      <right/>
      <top/>
      <bottom/>
      <diagonal/>
    </border>
    <border>
      <left/>
      <right/>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style="thin">
        <color indexed="64"/>
      </bottom>
      <diagonal/>
    </border>
    <border>
      <left/>
      <right/>
      <top/>
      <bottom style="double">
        <color indexed="64"/>
      </bottom>
      <diagonal/>
    </border>
    <border>
      <left style="medium">
        <color indexed="64"/>
      </left>
      <right style="medium">
        <color indexed="64"/>
      </right>
      <top/>
      <bottom style="double">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right/>
      <top style="double">
        <color indexed="64"/>
      </top>
      <bottom/>
      <diagonal/>
    </border>
    <border>
      <left style="medium">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2">
    <xf numFmtId="0" fontId="0" fillId="0" borderId="0"/>
    <xf numFmtId="44" fontId="32" fillId="0" borderId="0" applyFont="0" applyFill="0" applyBorder="0" applyAlignment="0" applyProtection="0"/>
    <xf numFmtId="0" fontId="35" fillId="0" borderId="0"/>
    <xf numFmtId="9" fontId="34" fillId="0" borderId="0" applyFont="0" applyFill="0" applyBorder="0" applyAlignment="0" applyProtection="0"/>
    <xf numFmtId="0" fontId="31" fillId="0" borderId="0"/>
    <xf numFmtId="43" fontId="57" fillId="0" borderId="0" applyFont="0" applyFill="0" applyBorder="0" applyAlignment="0" applyProtection="0"/>
    <xf numFmtId="0" fontId="26" fillId="0" borderId="0"/>
    <xf numFmtId="44" fontId="26" fillId="0" borderId="0" applyFont="0" applyFill="0" applyBorder="0" applyAlignment="0" applyProtection="0"/>
    <xf numFmtId="0" fontId="24" fillId="0" borderId="0"/>
    <xf numFmtId="9" fontId="32" fillId="0" borderId="0" applyFont="0" applyFill="0" applyBorder="0" applyAlignment="0" applyProtection="0"/>
    <xf numFmtId="0" fontId="15" fillId="0" borderId="0"/>
    <xf numFmtId="0" fontId="15" fillId="0" borderId="0"/>
    <xf numFmtId="44" fontId="15" fillId="0" borderId="0" applyFont="0" applyFill="0" applyBorder="0" applyAlignment="0" applyProtection="0"/>
    <xf numFmtId="0" fontId="15" fillId="0" borderId="0"/>
    <xf numFmtId="0" fontId="14" fillId="0" borderId="0"/>
    <xf numFmtId="0" fontId="14" fillId="0" borderId="0"/>
    <xf numFmtId="44" fontId="14" fillId="0" borderId="0" applyFont="0" applyFill="0" applyBorder="0" applyAlignment="0" applyProtection="0"/>
    <xf numFmtId="0" fontId="14" fillId="0" borderId="0"/>
    <xf numFmtId="0" fontId="14" fillId="0" borderId="0"/>
    <xf numFmtId="0" fontId="14" fillId="0" borderId="0"/>
    <xf numFmtId="44" fontId="14" fillId="0" borderId="0" applyFont="0" applyFill="0" applyBorder="0" applyAlignment="0" applyProtection="0"/>
    <xf numFmtId="0" fontId="14" fillId="0" borderId="0"/>
  </cellStyleXfs>
  <cellXfs count="668">
    <xf numFmtId="0" fontId="0" fillId="0" borderId="0" xfId="0"/>
    <xf numFmtId="0" fontId="33" fillId="0" borderId="0" xfId="0" applyFont="1" applyFill="1" applyBorder="1"/>
    <xf numFmtId="0" fontId="41" fillId="0" borderId="0" xfId="0" applyFont="1" applyFill="1" applyBorder="1"/>
    <xf numFmtId="0" fontId="48" fillId="0" borderId="0" xfId="0" applyFont="1" applyFill="1" applyBorder="1"/>
    <xf numFmtId="0" fontId="48" fillId="0" borderId="0" xfId="0" applyFont="1"/>
    <xf numFmtId="0" fontId="41" fillId="0" borderId="0" xfId="0" applyFont="1" applyBorder="1"/>
    <xf numFmtId="44" fontId="41" fillId="2" borderId="0" xfId="1" applyFont="1" applyFill="1" applyBorder="1"/>
    <xf numFmtId="44" fontId="41" fillId="0" borderId="0" xfId="1" applyFont="1" applyFill="1" applyBorder="1"/>
    <xf numFmtId="0" fontId="33" fillId="0" borderId="0" xfId="0" applyFont="1" applyBorder="1" applyAlignment="1">
      <alignment horizontal="left"/>
    </xf>
    <xf numFmtId="44" fontId="33" fillId="3" borderId="0" xfId="1" applyFont="1" applyFill="1" applyBorder="1" applyAlignment="1">
      <alignment horizontal="center"/>
    </xf>
    <xf numFmtId="4" fontId="33" fillId="2" borderId="3" xfId="0" applyNumberFormat="1" applyFont="1" applyFill="1" applyBorder="1" applyAlignment="1">
      <alignment horizontal="center"/>
    </xf>
    <xf numFmtId="44" fontId="33" fillId="4" borderId="3" xfId="1" applyFont="1" applyFill="1" applyBorder="1" applyAlignment="1">
      <alignment horizontal="center"/>
    </xf>
    <xf numFmtId="44" fontId="41" fillId="0" borderId="0" xfId="1" applyFont="1" applyFill="1" applyBorder="1" applyAlignment="1">
      <alignment horizontal="center"/>
    </xf>
    <xf numFmtId="0" fontId="48" fillId="0" borderId="0" xfId="0" applyFont="1" applyAlignment="1"/>
    <xf numFmtId="0" fontId="40" fillId="0" borderId="0" xfId="0" applyFont="1" applyBorder="1" applyAlignment="1">
      <alignment horizontal="left"/>
    </xf>
    <xf numFmtId="44" fontId="40" fillId="3" borderId="0" xfId="1" applyFont="1" applyFill="1" applyBorder="1" applyAlignment="1">
      <alignment horizontal="center"/>
    </xf>
    <xf numFmtId="4" fontId="33" fillId="4" borderId="4" xfId="0" applyNumberFormat="1" applyFont="1" applyFill="1" applyBorder="1" applyAlignment="1">
      <alignment horizontal="center"/>
    </xf>
    <xf numFmtId="4" fontId="33" fillId="2" borderId="4" xfId="0" applyNumberFormat="1" applyFont="1" applyFill="1" applyBorder="1" applyAlignment="1">
      <alignment horizontal="center"/>
    </xf>
    <xf numFmtId="44" fontId="33" fillId="4" borderId="4" xfId="1" applyFont="1" applyFill="1" applyBorder="1" applyAlignment="1">
      <alignment horizontal="center"/>
    </xf>
    <xf numFmtId="0" fontId="48" fillId="0" borderId="0" xfId="0" applyFont="1" applyBorder="1"/>
    <xf numFmtId="0" fontId="48" fillId="0" borderId="5" xfId="0" quotePrefix="1" applyFont="1" applyBorder="1" applyAlignment="1">
      <alignment horizontal="center"/>
    </xf>
    <xf numFmtId="0" fontId="48" fillId="0" borderId="6" xfId="0" applyFont="1" applyBorder="1" applyAlignment="1"/>
    <xf numFmtId="0" fontId="49" fillId="5" borderId="5" xfId="0" applyFont="1" applyFill="1" applyBorder="1" applyAlignment="1">
      <alignment horizontal="left"/>
    </xf>
    <xf numFmtId="0" fontId="49" fillId="5" borderId="0" xfId="0" applyFont="1" applyFill="1" applyBorder="1" applyAlignment="1">
      <alignment horizontal="left"/>
    </xf>
    <xf numFmtId="0" fontId="49" fillId="5" borderId="4" xfId="0" applyFont="1" applyFill="1" applyBorder="1" applyAlignment="1">
      <alignment horizontal="left"/>
    </xf>
    <xf numFmtId="49" fontId="41" fillId="0" borderId="0" xfId="0" applyNumberFormat="1" applyFont="1" applyBorder="1" applyAlignment="1">
      <alignment horizontal="left" vertical="center"/>
    </xf>
    <xf numFmtId="0" fontId="41" fillId="0" borderId="0" xfId="0" applyFont="1" applyBorder="1" applyAlignment="1">
      <alignment horizontal="left" vertical="center"/>
    </xf>
    <xf numFmtId="44" fontId="41" fillId="3" borderId="0" xfId="1" applyFont="1" applyFill="1" applyBorder="1"/>
    <xf numFmtId="44" fontId="41" fillId="4" borderId="4" xfId="1" applyFont="1" applyFill="1" applyBorder="1"/>
    <xf numFmtId="44" fontId="41" fillId="2" borderId="4" xfId="1" applyFont="1" applyFill="1" applyBorder="1"/>
    <xf numFmtId="0" fontId="41" fillId="0" borderId="5" xfId="2" applyFont="1" applyBorder="1" applyAlignment="1">
      <alignment horizontal="center"/>
    </xf>
    <xf numFmtId="44" fontId="41" fillId="0" borderId="6" xfId="1" applyFont="1" applyBorder="1"/>
    <xf numFmtId="49" fontId="41" fillId="0" borderId="1" xfId="0" applyNumberFormat="1" applyFont="1" applyBorder="1" applyAlignment="1">
      <alignment horizontal="left" vertical="center"/>
    </xf>
    <xf numFmtId="0" fontId="41" fillId="0" borderId="1" xfId="0" applyFont="1" applyBorder="1" applyAlignment="1">
      <alignment vertical="center"/>
    </xf>
    <xf numFmtId="44" fontId="41" fillId="3" borderId="1" xfId="1" applyFont="1" applyFill="1" applyBorder="1"/>
    <xf numFmtId="44" fontId="41" fillId="4" borderId="7" xfId="1" applyFont="1" applyFill="1" applyBorder="1"/>
    <xf numFmtId="44" fontId="41" fillId="2" borderId="7" xfId="1" applyFont="1" applyFill="1" applyBorder="1"/>
    <xf numFmtId="0" fontId="41" fillId="0" borderId="1" xfId="0" applyFont="1" applyBorder="1" applyAlignment="1">
      <alignment horizontal="left" vertical="center"/>
    </xf>
    <xf numFmtId="49" fontId="33" fillId="0" borderId="0" xfId="0" applyNumberFormat="1" applyFont="1" applyFill="1" applyBorder="1" applyAlignment="1">
      <alignment horizontal="left" vertical="center"/>
    </xf>
    <xf numFmtId="44" fontId="33" fillId="3" borderId="0" xfId="1" applyFont="1" applyFill="1" applyBorder="1"/>
    <xf numFmtId="44" fontId="33" fillId="2" borderId="4" xfId="1" applyFont="1" applyFill="1" applyBorder="1"/>
    <xf numFmtId="44" fontId="33" fillId="4" borderId="4" xfId="1" applyFont="1" applyFill="1" applyBorder="1"/>
    <xf numFmtId="44" fontId="33" fillId="4" borderId="7" xfId="1" applyFont="1" applyFill="1" applyBorder="1"/>
    <xf numFmtId="0" fontId="33" fillId="0" borderId="0" xfId="0" applyFont="1" applyFill="1" applyBorder="1" applyAlignment="1">
      <alignment horizontal="left" vertical="center"/>
    </xf>
    <xf numFmtId="164" fontId="33" fillId="4" borderId="4" xfId="0" applyNumberFormat="1" applyFont="1" applyFill="1" applyBorder="1"/>
    <xf numFmtId="0" fontId="41" fillId="0" borderId="1" xfId="0" applyFont="1" applyBorder="1"/>
    <xf numFmtId="0" fontId="49" fillId="6" borderId="0" xfId="0" applyFont="1" applyFill="1" applyBorder="1"/>
    <xf numFmtId="0" fontId="50" fillId="6" borderId="0" xfId="0" applyFont="1" applyFill="1" applyBorder="1"/>
    <xf numFmtId="44" fontId="50" fillId="6" borderId="0" xfId="1" applyFont="1" applyFill="1" applyBorder="1"/>
    <xf numFmtId="164" fontId="50" fillId="6" borderId="4" xfId="0" applyNumberFormat="1" applyFont="1" applyFill="1" applyBorder="1"/>
    <xf numFmtId="44" fontId="50" fillId="6" borderId="4" xfId="1" applyFont="1" applyFill="1" applyBorder="1"/>
    <xf numFmtId="49" fontId="41" fillId="0" borderId="0" xfId="0" applyNumberFormat="1" applyFont="1" applyFill="1" applyBorder="1" applyAlignment="1">
      <alignment horizontal="left" vertical="center"/>
    </xf>
    <xf numFmtId="0" fontId="41" fillId="0" borderId="0" xfId="0" applyFont="1" applyFill="1" applyBorder="1" applyAlignment="1">
      <alignment horizontal="left" vertical="center"/>
    </xf>
    <xf numFmtId="49" fontId="41" fillId="0" borderId="1" xfId="0" applyNumberFormat="1" applyFont="1" applyFill="1" applyBorder="1" applyAlignment="1">
      <alignment horizontal="left" vertical="center"/>
    </xf>
    <xf numFmtId="0" fontId="41" fillId="0" borderId="1" xfId="0" applyFont="1" applyFill="1" applyBorder="1" applyAlignment="1">
      <alignment horizontal="left" vertical="center"/>
    </xf>
    <xf numFmtId="164" fontId="41" fillId="4" borderId="4" xfId="0" applyNumberFormat="1" applyFont="1" applyFill="1" applyBorder="1"/>
    <xf numFmtId="44" fontId="33" fillId="2" borderId="7" xfId="1" applyFont="1" applyFill="1" applyBorder="1"/>
    <xf numFmtId="49" fontId="33" fillId="0" borderId="1" xfId="0" applyNumberFormat="1" applyFont="1" applyFill="1" applyBorder="1" applyAlignment="1">
      <alignment horizontal="left" vertical="center"/>
    </xf>
    <xf numFmtId="0" fontId="33" fillId="0" borderId="1" xfId="0" applyFont="1" applyFill="1" applyBorder="1" applyAlignment="1">
      <alignment vertical="center"/>
    </xf>
    <xf numFmtId="44" fontId="33" fillId="3" borderId="1" xfId="1" applyFont="1" applyFill="1" applyBorder="1"/>
    <xf numFmtId="0" fontId="33" fillId="0" borderId="1" xfId="0" applyFont="1" applyFill="1" applyBorder="1" applyAlignment="1">
      <alignment horizontal="left" vertical="center"/>
    </xf>
    <xf numFmtId="0" fontId="50" fillId="6" borderId="0" xfId="0" applyFont="1" applyFill="1"/>
    <xf numFmtId="0" fontId="41" fillId="0" borderId="1" xfId="0" applyFont="1" applyFill="1" applyBorder="1"/>
    <xf numFmtId="0" fontId="49" fillId="6" borderId="0" xfId="0" applyFont="1" applyFill="1" applyBorder="1" applyAlignment="1">
      <alignment horizontal="left"/>
    </xf>
    <xf numFmtId="44" fontId="49" fillId="6" borderId="4" xfId="1" applyFont="1" applyFill="1" applyBorder="1"/>
    <xf numFmtId="0" fontId="49" fillId="6" borderId="0" xfId="0" applyFont="1" applyFill="1" applyBorder="1" applyAlignment="1">
      <alignment horizontal="left" vertical="center"/>
    </xf>
    <xf numFmtId="44" fontId="41" fillId="4" borderId="4" xfId="1" applyFont="1" applyFill="1" applyBorder="1" applyAlignment="1">
      <alignment wrapText="1"/>
    </xf>
    <xf numFmtId="44" fontId="41" fillId="3" borderId="1" xfId="1" applyFont="1" applyFill="1" applyBorder="1" applyAlignment="1">
      <alignment wrapText="1"/>
    </xf>
    <xf numFmtId="44" fontId="41" fillId="4" borderId="7" xfId="1" applyFont="1" applyFill="1" applyBorder="1" applyAlignment="1">
      <alignment wrapText="1"/>
    </xf>
    <xf numFmtId="44" fontId="41" fillId="3" borderId="0" xfId="1" applyFont="1" applyFill="1" applyBorder="1" applyAlignment="1">
      <alignment wrapText="1"/>
    </xf>
    <xf numFmtId="164" fontId="41" fillId="4" borderId="7" xfId="0" applyNumberFormat="1" applyFont="1" applyFill="1" applyBorder="1"/>
    <xf numFmtId="0" fontId="33" fillId="0" borderId="0" xfId="0" applyFont="1" applyBorder="1" applyAlignment="1">
      <alignment vertical="center"/>
    </xf>
    <xf numFmtId="0" fontId="33" fillId="0" borderId="1" xfId="0" applyFont="1" applyBorder="1" applyAlignment="1">
      <alignment vertical="center"/>
    </xf>
    <xf numFmtId="0" fontId="41" fillId="0" borderId="0" xfId="0" applyFont="1" applyBorder="1" applyAlignment="1">
      <alignment vertical="center"/>
    </xf>
    <xf numFmtId="0" fontId="33" fillId="0" borderId="1" xfId="0" applyFont="1" applyFill="1" applyBorder="1"/>
    <xf numFmtId="0" fontId="48" fillId="3" borderId="1" xfId="0" applyFont="1" applyFill="1" applyBorder="1"/>
    <xf numFmtId="164" fontId="49" fillId="6" borderId="4" xfId="0" applyNumberFormat="1" applyFont="1" applyFill="1" applyBorder="1"/>
    <xf numFmtId="44" fontId="49" fillId="6" borderId="0" xfId="1" applyFont="1" applyFill="1" applyBorder="1"/>
    <xf numFmtId="0" fontId="44" fillId="0" borderId="0" xfId="0" applyFont="1"/>
    <xf numFmtId="0" fontId="44" fillId="0" borderId="0" xfId="0" applyFont="1" applyAlignment="1">
      <alignment horizontal="center"/>
    </xf>
    <xf numFmtId="0" fontId="48" fillId="0" borderId="0" xfId="0" applyFont="1" applyFill="1"/>
    <xf numFmtId="0" fontId="48" fillId="2" borderId="0" xfId="0" applyFont="1" applyFill="1"/>
    <xf numFmtId="44" fontId="41" fillId="4" borderId="3" xfId="1" applyFont="1" applyFill="1" applyBorder="1" applyAlignment="1">
      <alignment horizontal="center"/>
    </xf>
    <xf numFmtId="44" fontId="41" fillId="4" borderId="4" xfId="1" applyFont="1" applyFill="1" applyBorder="1" applyAlignment="1">
      <alignment horizontal="center"/>
    </xf>
    <xf numFmtId="49" fontId="45" fillId="0" borderId="0" xfId="0" applyNumberFormat="1" applyFont="1" applyFill="1" applyBorder="1" applyAlignment="1">
      <alignment horizontal="left" vertical="center"/>
    </xf>
    <xf numFmtId="0" fontId="33" fillId="0" borderId="0" xfId="0" applyFont="1" applyFill="1" applyBorder="1" applyAlignment="1">
      <alignment horizontal="left"/>
    </xf>
    <xf numFmtId="164" fontId="33" fillId="0" borderId="0" xfId="0" applyNumberFormat="1" applyFont="1" applyFill="1" applyBorder="1"/>
    <xf numFmtId="0" fontId="45" fillId="0" borderId="8" xfId="0" applyFont="1" applyFill="1" applyBorder="1" applyAlignment="1">
      <alignment horizontal="left" vertical="center"/>
    </xf>
    <xf numFmtId="0" fontId="48" fillId="3" borderId="8" xfId="0" applyFont="1" applyFill="1" applyBorder="1"/>
    <xf numFmtId="164" fontId="45" fillId="4" borderId="9" xfId="0" applyNumberFormat="1" applyFont="1" applyFill="1" applyBorder="1"/>
    <xf numFmtId="44" fontId="45" fillId="2" borderId="9" xfId="1" applyFont="1" applyFill="1" applyBorder="1"/>
    <xf numFmtId="44" fontId="45" fillId="4" borderId="9" xfId="1" applyFont="1" applyFill="1" applyBorder="1"/>
    <xf numFmtId="44" fontId="41" fillId="4" borderId="9" xfId="1" applyFont="1" applyFill="1" applyBorder="1"/>
    <xf numFmtId="44" fontId="33" fillId="4" borderId="4" xfId="0" applyNumberFormat="1" applyFont="1" applyFill="1" applyBorder="1"/>
    <xf numFmtId="44" fontId="33" fillId="4" borderId="7" xfId="0" applyNumberFormat="1" applyFont="1" applyFill="1" applyBorder="1"/>
    <xf numFmtId="44" fontId="50" fillId="6" borderId="4" xfId="0" applyNumberFormat="1" applyFont="1" applyFill="1" applyBorder="1"/>
    <xf numFmtId="44" fontId="41" fillId="4" borderId="4" xfId="1" applyNumberFormat="1" applyFont="1" applyFill="1" applyBorder="1"/>
    <xf numFmtId="44" fontId="41" fillId="4" borderId="7" xfId="1" applyNumberFormat="1" applyFont="1" applyFill="1" applyBorder="1"/>
    <xf numFmtId="44" fontId="33" fillId="0" borderId="0" xfId="1" applyFont="1" applyFill="1" applyBorder="1" applyAlignment="1">
      <alignment horizontal="center"/>
    </xf>
    <xf numFmtId="4" fontId="33" fillId="0" borderId="0" xfId="0" applyNumberFormat="1" applyFont="1" applyFill="1" applyBorder="1" applyAlignment="1">
      <alignment horizontal="center"/>
    </xf>
    <xf numFmtId="44" fontId="41" fillId="0" borderId="1" xfId="1" applyFont="1" applyFill="1" applyBorder="1"/>
    <xf numFmtId="44" fontId="33" fillId="0" borderId="0" xfId="1" applyFont="1" applyFill="1" applyBorder="1"/>
    <xf numFmtId="44" fontId="33" fillId="0" borderId="1" xfId="1" applyFont="1" applyFill="1" applyBorder="1"/>
    <xf numFmtId="44" fontId="45" fillId="0" borderId="8" xfId="1" applyFont="1" applyFill="1" applyBorder="1"/>
    <xf numFmtId="0" fontId="33" fillId="2" borderId="0" xfId="0" applyFont="1" applyFill="1" applyBorder="1" applyAlignment="1">
      <alignment horizontal="left"/>
    </xf>
    <xf numFmtId="0" fontId="41" fillId="0" borderId="0" xfId="0" applyFont="1" applyFill="1" applyBorder="1" applyAlignment="1">
      <alignment horizontal="left"/>
    </xf>
    <xf numFmtId="44" fontId="44" fillId="0" borderId="0" xfId="0" applyNumberFormat="1" applyFont="1"/>
    <xf numFmtId="0" fontId="41" fillId="0" borderId="14" xfId="2" applyFont="1" applyBorder="1" applyAlignment="1">
      <alignment horizontal="center"/>
    </xf>
    <xf numFmtId="44" fontId="41" fillId="0" borderId="15" xfId="1" applyFont="1" applyBorder="1"/>
    <xf numFmtId="44" fontId="51" fillId="0" borderId="0" xfId="0" applyNumberFormat="1" applyFont="1" applyBorder="1"/>
    <xf numFmtId="44" fontId="51" fillId="4" borderId="16" xfId="0" applyNumberFormat="1" applyFont="1" applyFill="1" applyBorder="1" applyAlignment="1">
      <alignment vertical="center"/>
    </xf>
    <xf numFmtId="0" fontId="41" fillId="0" borderId="0" xfId="0" applyFont="1" applyFill="1" applyBorder="1" applyAlignment="1">
      <alignment vertical="center"/>
    </xf>
    <xf numFmtId="44" fontId="52" fillId="4" borderId="4" xfId="1" applyFont="1" applyFill="1" applyBorder="1"/>
    <xf numFmtId="44" fontId="52" fillId="0" borderId="0" xfId="1" applyFont="1" applyFill="1" applyBorder="1"/>
    <xf numFmtId="44" fontId="33" fillId="0" borderId="4" xfId="1" applyFont="1" applyFill="1" applyBorder="1"/>
    <xf numFmtId="44" fontId="33" fillId="0" borderId="4" xfId="0" applyNumberFormat="1" applyFont="1" applyFill="1" applyBorder="1"/>
    <xf numFmtId="44" fontId="33" fillId="0" borderId="7" xfId="0" applyNumberFormat="1" applyFont="1" applyFill="1" applyBorder="1"/>
    <xf numFmtId="44" fontId="33" fillId="0" borderId="7" xfId="1" applyFont="1" applyFill="1" applyBorder="1"/>
    <xf numFmtId="44" fontId="52" fillId="0" borderId="4" xfId="1" applyFont="1" applyFill="1" applyBorder="1"/>
    <xf numFmtId="44" fontId="41" fillId="0" borderId="7" xfId="1" applyFont="1" applyFill="1" applyBorder="1"/>
    <xf numFmtId="44" fontId="41" fillId="0" borderId="4" xfId="1" applyFont="1" applyFill="1" applyBorder="1"/>
    <xf numFmtId="44" fontId="41" fillId="0" borderId="11" xfId="1" applyFont="1" applyFill="1" applyBorder="1" applyAlignment="1">
      <alignment horizontal="center"/>
    </xf>
    <xf numFmtId="0" fontId="48" fillId="0" borderId="6" xfId="0" applyFont="1" applyFill="1" applyBorder="1"/>
    <xf numFmtId="0" fontId="49" fillId="0" borderId="6" xfId="0" applyFont="1" applyFill="1" applyBorder="1" applyAlignment="1">
      <alignment horizontal="left"/>
    </xf>
    <xf numFmtId="0" fontId="42" fillId="0" borderId="1" xfId="0" applyFont="1" applyFill="1" applyBorder="1"/>
    <xf numFmtId="44" fontId="41" fillId="0" borderId="0" xfId="1" applyNumberFormat="1" applyFont="1" applyFill="1" applyBorder="1"/>
    <xf numFmtId="44" fontId="41" fillId="2" borderId="4" xfId="1" applyNumberFormat="1" applyFont="1" applyFill="1" applyBorder="1"/>
    <xf numFmtId="44" fontId="41" fillId="0" borderId="1" xfId="1" applyNumberFormat="1" applyFont="1" applyFill="1" applyBorder="1"/>
    <xf numFmtId="44" fontId="41" fillId="2" borderId="7" xfId="1" applyNumberFormat="1" applyFont="1" applyFill="1" applyBorder="1"/>
    <xf numFmtId="44" fontId="33" fillId="4" borderId="4" xfId="0" applyNumberFormat="1" applyFont="1" applyFill="1" applyBorder="1" applyAlignment="1">
      <alignment vertical="center"/>
    </xf>
    <xf numFmtId="44" fontId="33" fillId="0" borderId="0" xfId="1" applyNumberFormat="1" applyFont="1" applyFill="1" applyBorder="1"/>
    <xf numFmtId="44" fontId="33" fillId="0" borderId="4" xfId="0" applyNumberFormat="1" applyFont="1" applyFill="1" applyBorder="1" applyAlignment="1">
      <alignment vertical="center"/>
    </xf>
    <xf numFmtId="0" fontId="48" fillId="0" borderId="0" xfId="0" quotePrefix="1" applyFont="1" applyFill="1"/>
    <xf numFmtId="164" fontId="33" fillId="0" borderId="21" xfId="0" applyNumberFormat="1" applyFont="1" applyFill="1" applyBorder="1" applyAlignment="1">
      <alignment vertical="center"/>
    </xf>
    <xf numFmtId="44" fontId="33" fillId="4" borderId="22" xfId="0" applyNumberFormat="1" applyFont="1" applyFill="1" applyBorder="1" applyAlignment="1">
      <alignment vertical="center"/>
    </xf>
    <xf numFmtId="44" fontId="33" fillId="0" borderId="23" xfId="1" applyNumberFormat="1" applyFont="1" applyFill="1" applyBorder="1"/>
    <xf numFmtId="44" fontId="33" fillId="0" borderId="22" xfId="0" applyNumberFormat="1" applyFont="1" applyFill="1" applyBorder="1" applyAlignment="1">
      <alignment vertical="center"/>
    </xf>
    <xf numFmtId="44" fontId="41" fillId="4" borderId="24" xfId="1" applyFont="1" applyFill="1" applyBorder="1"/>
    <xf numFmtId="44" fontId="41" fillId="4" borderId="2" xfId="1" applyFont="1" applyFill="1" applyBorder="1"/>
    <xf numFmtId="44" fontId="33" fillId="4" borderId="2" xfId="1" applyFont="1" applyFill="1" applyBorder="1"/>
    <xf numFmtId="0" fontId="49" fillId="5" borderId="2" xfId="0" applyFont="1" applyFill="1" applyBorder="1" applyAlignment="1">
      <alignment horizontal="left"/>
    </xf>
    <xf numFmtId="44" fontId="50" fillId="6" borderId="2" xfId="1" applyFont="1" applyFill="1" applyBorder="1"/>
    <xf numFmtId="44" fontId="33" fillId="4" borderId="24" xfId="1" applyFont="1" applyFill="1" applyBorder="1"/>
    <xf numFmtId="44" fontId="33" fillId="4" borderId="24" xfId="0" applyNumberFormat="1" applyFont="1" applyFill="1" applyBorder="1"/>
    <xf numFmtId="44" fontId="33" fillId="4" borderId="2" xfId="0" applyNumberFormat="1" applyFont="1" applyFill="1" applyBorder="1"/>
    <xf numFmtId="44" fontId="49" fillId="6" borderId="2" xfId="1" applyFont="1" applyFill="1" applyBorder="1"/>
    <xf numFmtId="44" fontId="41" fillId="4" borderId="2" xfId="1" applyNumberFormat="1" applyFont="1" applyFill="1" applyBorder="1"/>
    <xf numFmtId="44" fontId="41" fillId="4" borderId="24" xfId="1" applyNumberFormat="1" applyFont="1" applyFill="1" applyBorder="1"/>
    <xf numFmtId="44" fontId="33" fillId="4" borderId="2" xfId="0" applyNumberFormat="1" applyFont="1" applyFill="1" applyBorder="1" applyAlignment="1">
      <alignment vertical="center"/>
    </xf>
    <xf numFmtId="0" fontId="55" fillId="0" borderId="0" xfId="4" applyFont="1"/>
    <xf numFmtId="0" fontId="31" fillId="0" borderId="0" xfId="4"/>
    <xf numFmtId="0" fontId="31" fillId="0" borderId="0" xfId="4" applyBorder="1"/>
    <xf numFmtId="0" fontId="55" fillId="0" borderId="0" xfId="4" applyFont="1" applyAlignment="1">
      <alignment horizontal="center"/>
    </xf>
    <xf numFmtId="43" fontId="31" fillId="0" borderId="0" xfId="4" applyNumberFormat="1"/>
    <xf numFmtId="10" fontId="31" fillId="0" borderId="0" xfId="4" applyNumberFormat="1"/>
    <xf numFmtId="43" fontId="31" fillId="0" borderId="0" xfId="4" applyNumberFormat="1" applyAlignment="1"/>
    <xf numFmtId="43" fontId="31" fillId="0" borderId="0" xfId="4" applyNumberFormat="1" applyAlignment="1">
      <alignment horizontal="right"/>
    </xf>
    <xf numFmtId="0" fontId="31" fillId="0" borderId="0" xfId="4" applyAlignment="1">
      <alignment horizontal="right"/>
    </xf>
    <xf numFmtId="43" fontId="31" fillId="0" borderId="1" xfId="4" applyNumberFormat="1" applyBorder="1"/>
    <xf numFmtId="43" fontId="31" fillId="0" borderId="0" xfId="4" applyNumberFormat="1" applyBorder="1"/>
    <xf numFmtId="0" fontId="31" fillId="0" borderId="0" xfId="4" applyAlignment="1">
      <alignment horizontal="left"/>
    </xf>
    <xf numFmtId="0" fontId="54" fillId="0" borderId="5" xfId="0" applyFont="1" applyBorder="1"/>
    <xf numFmtId="0" fontId="51" fillId="3" borderId="17" xfId="0" applyFont="1" applyFill="1" applyBorder="1" applyAlignment="1">
      <alignment horizontal="center"/>
    </xf>
    <xf numFmtId="0" fontId="56" fillId="0" borderId="0" xfId="0" applyFont="1"/>
    <xf numFmtId="4" fontId="41" fillId="4" borderId="3" xfId="0" applyNumberFormat="1" applyFont="1" applyFill="1" applyBorder="1" applyAlignment="1">
      <alignment horizontal="center"/>
    </xf>
    <xf numFmtId="43" fontId="30" fillId="0" borderId="0" xfId="4" applyNumberFormat="1" applyFont="1" applyAlignment="1">
      <alignment horizontal="right"/>
    </xf>
    <xf numFmtId="43" fontId="30" fillId="0" borderId="0" xfId="4" applyNumberFormat="1" applyFont="1"/>
    <xf numFmtId="0" fontId="31" fillId="0" borderId="1" xfId="4" applyBorder="1"/>
    <xf numFmtId="43" fontId="30" fillId="0" borderId="0" xfId="0" applyNumberFormat="1" applyFont="1"/>
    <xf numFmtId="44" fontId="31" fillId="0" borderId="0" xfId="4" applyNumberFormat="1"/>
    <xf numFmtId="43" fontId="31" fillId="0" borderId="0" xfId="4" applyNumberFormat="1" applyFill="1"/>
    <xf numFmtId="43" fontId="29" fillId="0" borderId="0" xfId="4" applyNumberFormat="1" applyFont="1"/>
    <xf numFmtId="0" fontId="48" fillId="3" borderId="0" xfId="0" applyFont="1" applyFill="1" applyBorder="1"/>
    <xf numFmtId="164" fontId="55" fillId="0" borderId="35" xfId="1" applyNumberFormat="1" applyFont="1" applyBorder="1" applyAlignment="1">
      <alignment horizontal="center"/>
    </xf>
    <xf numFmtId="43" fontId="59" fillId="0" borderId="0" xfId="4" applyNumberFormat="1" applyFont="1"/>
    <xf numFmtId="43" fontId="31" fillId="0" borderId="8" xfId="4" applyNumberFormat="1" applyBorder="1"/>
    <xf numFmtId="165" fontId="60" fillId="0" borderId="0" xfId="0" applyNumberFormat="1" applyFont="1" applyAlignment="1">
      <alignment horizontal="center" vertical="top"/>
    </xf>
    <xf numFmtId="165" fontId="61" fillId="0" borderId="0" xfId="0" applyNumberFormat="1" applyFont="1" applyAlignment="1">
      <alignment horizontal="center" vertical="top"/>
    </xf>
    <xf numFmtId="0" fontId="60" fillId="0" borderId="0" xfId="0" applyFont="1" applyAlignment="1">
      <alignment horizontal="left" vertical="top" wrapText="1"/>
    </xf>
    <xf numFmtId="0" fontId="61" fillId="0" borderId="0" xfId="0" applyFont="1" applyAlignment="1">
      <alignment horizontal="left" vertical="top" wrapText="1"/>
    </xf>
    <xf numFmtId="0" fontId="35" fillId="0" borderId="0" xfId="0" applyFont="1" applyAlignment="1">
      <alignment horizontal="left" vertical="top" wrapText="1"/>
    </xf>
    <xf numFmtId="44" fontId="41" fillId="4" borderId="36" xfId="1" applyFont="1" applyFill="1" applyBorder="1"/>
    <xf numFmtId="44" fontId="41" fillId="2" borderId="36" xfId="1" applyFont="1" applyFill="1" applyBorder="1"/>
    <xf numFmtId="2" fontId="48" fillId="0" borderId="0" xfId="0" applyNumberFormat="1" applyFont="1" applyFill="1"/>
    <xf numFmtId="0" fontId="62" fillId="0" borderId="0" xfId="0" applyFont="1"/>
    <xf numFmtId="0" fontId="61" fillId="0" borderId="0" xfId="0" applyFont="1"/>
    <xf numFmtId="44" fontId="48" fillId="0" borderId="0" xfId="0" applyNumberFormat="1" applyFont="1" applyFill="1"/>
    <xf numFmtId="44" fontId="55" fillId="0" borderId="31" xfId="1" applyFont="1" applyBorder="1"/>
    <xf numFmtId="0" fontId="62" fillId="0" borderId="0" xfId="0" applyFont="1" applyAlignment="1">
      <alignment horizontal="left"/>
    </xf>
    <xf numFmtId="0" fontId="62" fillId="0" borderId="10" xfId="0" applyFont="1" applyBorder="1" applyAlignment="1">
      <alignment horizontal="left"/>
    </xf>
    <xf numFmtId="0" fontId="62" fillId="0" borderId="11" xfId="0" applyFont="1" applyBorder="1" applyAlignment="1">
      <alignment horizontal="left"/>
    </xf>
    <xf numFmtId="44" fontId="48" fillId="0" borderId="0" xfId="0" applyNumberFormat="1" applyFont="1"/>
    <xf numFmtId="0" fontId="46" fillId="0" borderId="0" xfId="0" applyFont="1" applyFill="1" applyBorder="1"/>
    <xf numFmtId="0" fontId="46" fillId="0" borderId="1" xfId="0" applyFont="1" applyBorder="1"/>
    <xf numFmtId="0" fontId="46" fillId="0" borderId="0" xfId="0" applyFont="1" applyBorder="1"/>
    <xf numFmtId="0" fontId="28" fillId="0" borderId="2" xfId="4" applyFont="1" applyBorder="1" applyAlignment="1">
      <alignment horizontal="right"/>
    </xf>
    <xf numFmtId="0" fontId="24" fillId="0" borderId="0" xfId="4" applyFont="1"/>
    <xf numFmtId="164" fontId="67" fillId="0" borderId="31" xfId="1" applyNumberFormat="1" applyFont="1" applyBorder="1" applyAlignment="1">
      <alignment horizontal="center"/>
    </xf>
    <xf numFmtId="44" fontId="24" fillId="0" borderId="32" xfId="1" applyFont="1" applyBorder="1"/>
    <xf numFmtId="0" fontId="55" fillId="0" borderId="0" xfId="8" applyFont="1"/>
    <xf numFmtId="0" fontId="24" fillId="0" borderId="0" xfId="8"/>
    <xf numFmtId="0" fontId="24" fillId="0" borderId="0" xfId="8" applyBorder="1"/>
    <xf numFmtId="0" fontId="55" fillId="0" borderId="0" xfId="8" applyFont="1" applyAlignment="1">
      <alignment horizontal="center"/>
    </xf>
    <xf numFmtId="0" fontId="63" fillId="0" borderId="0" xfId="8" applyFont="1"/>
    <xf numFmtId="0" fontId="24" fillId="0" borderId="0" xfId="8" applyFont="1"/>
    <xf numFmtId="43" fontId="24" fillId="0" borderId="0" xfId="8" applyNumberFormat="1"/>
    <xf numFmtId="43" fontId="24" fillId="0" borderId="0" xfId="5" applyFont="1"/>
    <xf numFmtId="10" fontId="24" fillId="0" borderId="0" xfId="8" applyNumberFormat="1"/>
    <xf numFmtId="43" fontId="24" fillId="0" borderId="0" xfId="8" applyNumberFormat="1" applyAlignment="1"/>
    <xf numFmtId="43" fontId="24" fillId="0" borderId="0" xfId="8" applyNumberFormat="1" applyAlignment="1">
      <alignment horizontal="right"/>
    </xf>
    <xf numFmtId="0" fontId="24" fillId="0" borderId="0" xfId="8" applyAlignment="1">
      <alignment horizontal="right"/>
    </xf>
    <xf numFmtId="43" fontId="24" fillId="0" borderId="1" xfId="8" applyNumberFormat="1" applyBorder="1"/>
    <xf numFmtId="43" fontId="24" fillId="0" borderId="0" xfId="8" applyNumberFormat="1" applyBorder="1"/>
    <xf numFmtId="0" fontId="24" fillId="0" borderId="2" xfId="8" applyFont="1" applyBorder="1"/>
    <xf numFmtId="0" fontId="24" fillId="0" borderId="31" xfId="8" applyBorder="1"/>
    <xf numFmtId="0" fontId="24" fillId="0" borderId="2" xfId="8" applyBorder="1"/>
    <xf numFmtId="0" fontId="24" fillId="0" borderId="0" xfId="8" applyFont="1" applyBorder="1" applyAlignment="1">
      <alignment horizontal="right"/>
    </xf>
    <xf numFmtId="44" fontId="24" fillId="0" borderId="31" xfId="1" applyFont="1" applyBorder="1"/>
    <xf numFmtId="164" fontId="24" fillId="0" borderId="0" xfId="8" applyNumberFormat="1"/>
    <xf numFmtId="43" fontId="24" fillId="0" borderId="0" xfId="8" applyNumberFormat="1" applyFont="1"/>
    <xf numFmtId="0" fontId="55" fillId="0" borderId="2" xfId="8" applyFont="1" applyBorder="1"/>
    <xf numFmtId="0" fontId="24" fillId="0" borderId="0" xfId="8" applyFont="1" applyBorder="1"/>
    <xf numFmtId="43" fontId="24" fillId="0" borderId="0" xfId="8" applyNumberFormat="1" applyFont="1" applyAlignment="1">
      <alignment horizontal="right"/>
    </xf>
    <xf numFmtId="0" fontId="24" fillId="0" borderId="33" xfId="8" applyBorder="1"/>
    <xf numFmtId="0" fontId="24" fillId="0" borderId="34" xfId="8" applyBorder="1"/>
    <xf numFmtId="0" fontId="24" fillId="0" borderId="35" xfId="8" applyBorder="1"/>
    <xf numFmtId="43" fontId="59" fillId="0" borderId="0" xfId="8" applyNumberFormat="1" applyFont="1"/>
    <xf numFmtId="0" fontId="59" fillId="0" borderId="0" xfId="8" applyFont="1"/>
    <xf numFmtId="43" fontId="59" fillId="0" borderId="1" xfId="8" applyNumberFormat="1" applyFont="1" applyBorder="1"/>
    <xf numFmtId="0" fontId="24" fillId="0" borderId="1" xfId="8" applyBorder="1"/>
    <xf numFmtId="0" fontId="24" fillId="0" borderId="0" xfId="8" applyAlignment="1">
      <alignment horizontal="left"/>
    </xf>
    <xf numFmtId="43" fontId="24" fillId="0" borderId="0" xfId="8" applyNumberFormat="1" applyFill="1"/>
    <xf numFmtId="43" fontId="24" fillId="0" borderId="8" xfId="8" applyNumberFormat="1" applyBorder="1"/>
    <xf numFmtId="43" fontId="55" fillId="0" borderId="0" xfId="8" applyNumberFormat="1" applyFont="1" applyBorder="1"/>
    <xf numFmtId="44" fontId="24" fillId="0" borderId="0" xfId="8" applyNumberFormat="1"/>
    <xf numFmtId="43" fontId="24" fillId="0" borderId="12" xfId="8" applyNumberFormat="1" applyBorder="1"/>
    <xf numFmtId="43" fontId="24" fillId="0" borderId="0" xfId="0" applyNumberFormat="1" applyFont="1"/>
    <xf numFmtId="164" fontId="24" fillId="0" borderId="31" xfId="1" applyNumberFormat="1" applyFont="1" applyBorder="1" applyAlignment="1">
      <alignment horizontal="center"/>
    </xf>
    <xf numFmtId="0" fontId="24" fillId="0" borderId="2" xfId="8" applyFont="1" applyBorder="1" applyAlignment="1">
      <alignment horizontal="right"/>
    </xf>
    <xf numFmtId="10" fontId="51" fillId="3" borderId="17" xfId="9" applyNumberFormat="1" applyFont="1" applyFill="1" applyBorder="1" applyAlignment="1">
      <alignment horizontal="center" vertical="center"/>
    </xf>
    <xf numFmtId="10" fontId="42" fillId="0" borderId="6" xfId="9" applyNumberFormat="1" applyFont="1" applyFill="1" applyBorder="1" applyAlignment="1">
      <alignment horizontal="center"/>
    </xf>
    <xf numFmtId="10" fontId="42" fillId="0" borderId="0" xfId="9" applyNumberFormat="1" applyFont="1" applyFill="1" applyAlignment="1">
      <alignment horizontal="center"/>
    </xf>
    <xf numFmtId="10" fontId="42" fillId="0" borderId="15" xfId="9" applyNumberFormat="1" applyFont="1" applyFill="1" applyBorder="1" applyAlignment="1">
      <alignment horizontal="center"/>
    </xf>
    <xf numFmtId="10" fontId="42" fillId="0" borderId="26" xfId="9" applyNumberFormat="1" applyFont="1" applyFill="1" applyBorder="1" applyAlignment="1">
      <alignment horizontal="center"/>
    </xf>
    <xf numFmtId="10" fontId="42" fillId="0" borderId="18" xfId="9" applyNumberFormat="1" applyFont="1" applyFill="1" applyBorder="1" applyAlignment="1">
      <alignment horizontal="center"/>
    </xf>
    <xf numFmtId="10" fontId="42" fillId="0" borderId="20" xfId="9" applyNumberFormat="1" applyFont="1" applyFill="1" applyBorder="1" applyAlignment="1">
      <alignment horizontal="center"/>
    </xf>
    <xf numFmtId="10" fontId="50" fillId="0" borderId="20" xfId="9" applyNumberFormat="1" applyFont="1" applyFill="1" applyBorder="1" applyAlignment="1">
      <alignment horizontal="center"/>
    </xf>
    <xf numFmtId="10" fontId="49" fillId="0" borderId="6" xfId="9" applyNumberFormat="1" applyFont="1" applyFill="1" applyBorder="1" applyAlignment="1">
      <alignment horizontal="center"/>
    </xf>
    <xf numFmtId="10" fontId="42" fillId="0" borderId="19" xfId="9" applyNumberFormat="1" applyFont="1" applyFill="1" applyBorder="1" applyAlignment="1">
      <alignment horizontal="center"/>
    </xf>
    <xf numFmtId="10" fontId="42" fillId="0" borderId="25" xfId="9" applyNumberFormat="1" applyFont="1" applyFill="1" applyBorder="1" applyAlignment="1">
      <alignment horizontal="center" vertical="center"/>
    </xf>
    <xf numFmtId="0" fontId="23" fillId="0" borderId="0" xfId="4" applyFont="1" applyBorder="1" applyAlignment="1">
      <alignment horizontal="right"/>
    </xf>
    <xf numFmtId="0" fontId="23" fillId="0" borderId="0" xfId="4" applyFont="1"/>
    <xf numFmtId="43" fontId="22" fillId="0" borderId="0" xfId="4" applyNumberFormat="1" applyFont="1" applyAlignment="1"/>
    <xf numFmtId="43" fontId="22" fillId="0" borderId="0" xfId="4" applyNumberFormat="1" applyFont="1"/>
    <xf numFmtId="43" fontId="22" fillId="0" borderId="1" xfId="4" applyNumberFormat="1" applyFont="1" applyBorder="1"/>
    <xf numFmtId="0" fontId="22" fillId="0" borderId="0" xfId="4" applyFont="1"/>
    <xf numFmtId="0" fontId="66" fillId="0" borderId="0" xfId="4" applyFont="1" applyBorder="1" applyAlignment="1"/>
    <xf numFmtId="0" fontId="68" fillId="0" borderId="0" xfId="4" applyFont="1" applyBorder="1" applyAlignment="1"/>
    <xf numFmtId="43" fontId="59" fillId="0" borderId="1" xfId="4" applyNumberFormat="1" applyFont="1" applyBorder="1"/>
    <xf numFmtId="43" fontId="59" fillId="0" borderId="0" xfId="4" applyNumberFormat="1" applyFont="1" applyBorder="1"/>
    <xf numFmtId="0" fontId="59" fillId="0" borderId="0" xfId="4" applyFont="1"/>
    <xf numFmtId="0" fontId="22" fillId="0" borderId="0" xfId="4" applyFont="1" applyAlignment="1">
      <alignment horizontal="right"/>
    </xf>
    <xf numFmtId="43" fontId="59" fillId="0" borderId="0" xfId="4" quotePrefix="1" applyNumberFormat="1" applyFont="1"/>
    <xf numFmtId="43" fontId="72" fillId="0" borderId="0" xfId="4" applyNumberFormat="1" applyFont="1" applyBorder="1"/>
    <xf numFmtId="0" fontId="28" fillId="0" borderId="2" xfId="4" applyFont="1" applyBorder="1" applyAlignment="1">
      <alignment horizontal="right"/>
    </xf>
    <xf numFmtId="0" fontId="41" fillId="0" borderId="0" xfId="2" applyFont="1" applyBorder="1" applyAlignment="1">
      <alignment horizontal="center"/>
    </xf>
    <xf numFmtId="44" fontId="41" fillId="0" borderId="0" xfId="1" applyFont="1" applyBorder="1"/>
    <xf numFmtId="0" fontId="21" fillId="0" borderId="0" xfId="4" applyFont="1" applyBorder="1" applyAlignment="1">
      <alignment horizontal="right"/>
    </xf>
    <xf numFmtId="43" fontId="59" fillId="0" borderId="12" xfId="4" applyNumberFormat="1" applyFont="1" applyBorder="1"/>
    <xf numFmtId="43" fontId="21" fillId="0" borderId="0" xfId="4" applyNumberFormat="1" applyFont="1" applyAlignment="1">
      <alignment horizontal="right"/>
    </xf>
    <xf numFmtId="0" fontId="28" fillId="0" borderId="2" xfId="4" applyFont="1" applyBorder="1" applyAlignment="1">
      <alignment horizontal="right"/>
    </xf>
    <xf numFmtId="164" fontId="59" fillId="0" borderId="31" xfId="1" applyNumberFormat="1" applyFont="1" applyBorder="1" applyAlignment="1">
      <alignment horizontal="center"/>
    </xf>
    <xf numFmtId="0" fontId="22" fillId="0" borderId="2" xfId="4" applyFont="1" applyBorder="1" applyAlignment="1"/>
    <xf numFmtId="0" fontId="31" fillId="0" borderId="0" xfId="4" applyBorder="1" applyAlignment="1"/>
    <xf numFmtId="0" fontId="28" fillId="0" borderId="2" xfId="4" applyFont="1" applyBorder="1" applyAlignment="1"/>
    <xf numFmtId="0" fontId="31" fillId="3" borderId="0" xfId="4" applyFill="1"/>
    <xf numFmtId="0" fontId="68" fillId="3" borderId="0" xfId="4" applyFont="1" applyFill="1"/>
    <xf numFmtId="43" fontId="31" fillId="3" borderId="0" xfId="5" applyFont="1" applyFill="1"/>
    <xf numFmtId="0" fontId="27" fillId="3" borderId="2" xfId="4" applyFont="1" applyFill="1" applyBorder="1"/>
    <xf numFmtId="0" fontId="31" fillId="3" borderId="0" xfId="4" applyFill="1" applyBorder="1"/>
    <xf numFmtId="0" fontId="31" fillId="3" borderId="31" xfId="4" applyFill="1" applyBorder="1"/>
    <xf numFmtId="0" fontId="31" fillId="3" borderId="2" xfId="4" applyFill="1" applyBorder="1"/>
    <xf numFmtId="0" fontId="55" fillId="3" borderId="2" xfId="4" applyFont="1" applyFill="1" applyBorder="1"/>
    <xf numFmtId="0" fontId="27" fillId="3" borderId="0" xfId="4" applyFont="1" applyFill="1" applyBorder="1"/>
    <xf numFmtId="44" fontId="55" fillId="3" borderId="31" xfId="1" applyFont="1" applyFill="1" applyBorder="1"/>
    <xf numFmtId="0" fontId="31" fillId="3" borderId="33" xfId="4" applyFill="1" applyBorder="1"/>
    <xf numFmtId="0" fontId="31" fillId="3" borderId="34" xfId="4" applyFill="1" applyBorder="1"/>
    <xf numFmtId="0" fontId="31" fillId="3" borderId="35" xfId="4" applyFill="1" applyBorder="1"/>
    <xf numFmtId="0" fontId="30" fillId="3" borderId="0" xfId="4" applyFont="1" applyFill="1"/>
    <xf numFmtId="0" fontId="55" fillId="3" borderId="28" xfId="4" applyFont="1" applyFill="1" applyBorder="1" applyAlignment="1"/>
    <xf numFmtId="0" fontId="55" fillId="3" borderId="29" xfId="4" applyFont="1" applyFill="1" applyBorder="1" applyAlignment="1"/>
    <xf numFmtId="0" fontId="55" fillId="3" borderId="30" xfId="4" applyFont="1" applyFill="1" applyBorder="1" applyAlignment="1"/>
    <xf numFmtId="0" fontId="55" fillId="3" borderId="0" xfId="4" applyFont="1" applyFill="1" applyBorder="1" applyAlignment="1"/>
    <xf numFmtId="0" fontId="70" fillId="3" borderId="0" xfId="4" applyFont="1" applyFill="1" applyBorder="1"/>
    <xf numFmtId="0" fontId="70" fillId="3" borderId="31" xfId="4" applyFont="1" applyFill="1" applyBorder="1" applyAlignment="1">
      <alignment horizontal="center" wrapText="1"/>
    </xf>
    <xf numFmtId="0" fontId="71" fillId="3" borderId="0" xfId="4" applyFont="1" applyFill="1" applyBorder="1" applyAlignment="1">
      <alignment horizontal="center" wrapText="1"/>
    </xf>
    <xf numFmtId="0" fontId="22" fillId="3" borderId="2" xfId="4" applyFont="1" applyFill="1" applyBorder="1"/>
    <xf numFmtId="44" fontId="31" fillId="3" borderId="0" xfId="1" applyFont="1" applyFill="1" applyBorder="1"/>
    <xf numFmtId="10" fontId="22" fillId="3" borderId="31" xfId="3" applyNumberFormat="1" applyFont="1" applyFill="1" applyBorder="1" applyAlignment="1">
      <alignment horizontal="center"/>
    </xf>
    <xf numFmtId="10" fontId="69" fillId="3" borderId="0" xfId="3" applyNumberFormat="1" applyFont="1" applyFill="1" applyBorder="1" applyAlignment="1">
      <alignment horizontal="center"/>
    </xf>
    <xf numFmtId="0" fontId="22" fillId="3" borderId="33" xfId="4" applyNumberFormat="1" applyFont="1" applyFill="1" applyBorder="1"/>
    <xf numFmtId="44" fontId="31" fillId="3" borderId="34" xfId="1" applyFont="1" applyFill="1" applyBorder="1"/>
    <xf numFmtId="10" fontId="31" fillId="3" borderId="35" xfId="3" applyNumberFormat="1" applyFont="1" applyFill="1" applyBorder="1" applyAlignment="1">
      <alignment horizontal="center"/>
    </xf>
    <xf numFmtId="0" fontId="22" fillId="3" borderId="0" xfId="4" applyFont="1" applyFill="1"/>
    <xf numFmtId="44" fontId="31" fillId="3" borderId="0" xfId="1" applyFont="1" applyFill="1"/>
    <xf numFmtId="44" fontId="69" fillId="3" borderId="0" xfId="4" applyNumberFormat="1" applyFont="1" applyFill="1"/>
    <xf numFmtId="0" fontId="20" fillId="3" borderId="0" xfId="4" applyFont="1" applyFill="1"/>
    <xf numFmtId="0" fontId="25" fillId="3" borderId="0" xfId="4" applyFont="1" applyFill="1"/>
    <xf numFmtId="164" fontId="31" fillId="3" borderId="0" xfId="4" applyNumberFormat="1" applyFill="1"/>
    <xf numFmtId="0" fontId="20" fillId="3" borderId="0" xfId="4" applyFont="1" applyFill="1" applyAlignment="1">
      <alignment horizontal="center"/>
    </xf>
    <xf numFmtId="0" fontId="31" fillId="3" borderId="0" xfId="4" applyFill="1" applyAlignment="1">
      <alignment horizontal="center"/>
    </xf>
    <xf numFmtId="43" fontId="19" fillId="0" borderId="0" xfId="4" applyNumberFormat="1" applyFont="1" applyAlignment="1">
      <alignment horizontal="right"/>
    </xf>
    <xf numFmtId="0" fontId="18" fillId="0" borderId="0" xfId="4" applyFont="1" applyBorder="1" applyAlignment="1">
      <alignment horizontal="right"/>
    </xf>
    <xf numFmtId="0" fontId="18" fillId="0" borderId="2" xfId="4" applyFont="1" applyBorder="1" applyAlignment="1">
      <alignment horizontal="right"/>
    </xf>
    <xf numFmtId="0" fontId="18" fillId="3" borderId="0" xfId="4" applyFont="1" applyFill="1" applyBorder="1" applyAlignment="1">
      <alignment horizontal="right"/>
    </xf>
    <xf numFmtId="165" fontId="60" fillId="0" borderId="38" xfId="0" applyNumberFormat="1" applyFont="1" applyBorder="1" applyAlignment="1">
      <alignment horizontal="center" vertical="top"/>
    </xf>
    <xf numFmtId="0" fontId="60" fillId="0" borderId="38" xfId="0" applyFont="1" applyBorder="1" applyAlignment="1">
      <alignment horizontal="left" vertical="top" wrapText="1"/>
    </xf>
    <xf numFmtId="165" fontId="61" fillId="0" borderId="38" xfId="0" applyNumberFormat="1" applyFont="1" applyBorder="1" applyAlignment="1">
      <alignment horizontal="center" vertical="top"/>
    </xf>
    <xf numFmtId="0" fontId="61" fillId="0" borderId="38" xfId="0" applyFont="1" applyBorder="1" applyAlignment="1">
      <alignment horizontal="left" vertical="top" wrapText="1"/>
    </xf>
    <xf numFmtId="0" fontId="35" fillId="0" borderId="38" xfId="0" applyFont="1" applyBorder="1" applyAlignment="1">
      <alignment horizontal="left" vertical="top" wrapText="1"/>
    </xf>
    <xf numFmtId="0" fontId="73" fillId="0" borderId="0" xfId="0" applyFont="1"/>
    <xf numFmtId="0" fontId="55" fillId="3" borderId="2" xfId="4" applyFont="1" applyFill="1" applyBorder="1" applyAlignment="1"/>
    <xf numFmtId="0" fontId="55" fillId="0" borderId="0" xfId="4" applyFont="1" applyAlignment="1">
      <alignment horizontal="right"/>
    </xf>
    <xf numFmtId="0" fontId="17" fillId="3" borderId="0" xfId="4" applyFont="1" applyFill="1" applyBorder="1" applyAlignment="1">
      <alignment horizontal="right"/>
    </xf>
    <xf numFmtId="0" fontId="31" fillId="0" borderId="0" xfId="4" applyFill="1"/>
    <xf numFmtId="0" fontId="20" fillId="0" borderId="0" xfId="4" applyFont="1" applyFill="1"/>
    <xf numFmtId="0" fontId="41" fillId="0" borderId="0" xfId="0" applyFont="1"/>
    <xf numFmtId="0" fontId="54" fillId="0" borderId="0" xfId="0" applyFont="1" applyBorder="1"/>
    <xf numFmtId="0" fontId="62" fillId="0" borderId="0" xfId="0" applyFont="1" applyBorder="1" applyAlignment="1">
      <alignment horizontal="left"/>
    </xf>
    <xf numFmtId="0" fontId="61" fillId="0" borderId="38" xfId="0" applyFont="1" applyBorder="1" applyAlignment="1">
      <alignment horizontal="left" vertical="top" wrapText="1"/>
    </xf>
    <xf numFmtId="44" fontId="59" fillId="3" borderId="32" xfId="1" applyFont="1" applyFill="1" applyBorder="1"/>
    <xf numFmtId="0" fontId="13" fillId="0" borderId="0" xfId="4" applyFont="1"/>
    <xf numFmtId="164" fontId="59" fillId="3" borderId="31" xfId="1" applyNumberFormat="1" applyFont="1" applyFill="1" applyBorder="1"/>
    <xf numFmtId="44" fontId="72" fillId="3" borderId="31" xfId="1" applyFont="1" applyFill="1" applyBorder="1"/>
    <xf numFmtId="44" fontId="59" fillId="3" borderId="31" xfId="1" applyFont="1" applyFill="1" applyBorder="1"/>
    <xf numFmtId="164" fontId="59" fillId="3" borderId="32" xfId="1" applyNumberFormat="1" applyFont="1" applyFill="1" applyBorder="1"/>
    <xf numFmtId="0" fontId="12" fillId="3" borderId="0" xfId="4" applyFont="1" applyFill="1" applyBorder="1" applyAlignment="1">
      <alignment horizontal="right"/>
    </xf>
    <xf numFmtId="43" fontId="82" fillId="0" borderId="0" xfId="4" quotePrefix="1" applyNumberFormat="1" applyFont="1"/>
    <xf numFmtId="43" fontId="82" fillId="0" borderId="0" xfId="4" applyNumberFormat="1" applyFont="1"/>
    <xf numFmtId="0" fontId="60" fillId="0" borderId="0" xfId="0" applyFont="1"/>
    <xf numFmtId="0" fontId="83" fillId="0" borderId="0" xfId="0" applyFont="1"/>
    <xf numFmtId="44" fontId="61" fillId="0" borderId="0" xfId="1" applyFont="1"/>
    <xf numFmtId="0" fontId="60" fillId="0" borderId="0" xfId="0" applyFont="1" applyAlignment="1">
      <alignment horizontal="center"/>
    </xf>
    <xf numFmtId="44" fontId="61" fillId="0" borderId="0" xfId="1" applyFont="1" applyBorder="1" applyAlignment="1">
      <alignment horizontal="center"/>
    </xf>
    <xf numFmtId="0" fontId="61" fillId="0" borderId="16" xfId="0" applyFont="1" applyBorder="1"/>
    <xf numFmtId="44" fontId="61" fillId="0" borderId="16" xfId="1" applyFont="1" applyBorder="1" applyAlignment="1">
      <alignment horizontal="center"/>
    </xf>
    <xf numFmtId="44" fontId="35" fillId="0" borderId="16" xfId="1" applyFont="1" applyBorder="1" applyAlignment="1">
      <alignment horizontal="center"/>
    </xf>
    <xf numFmtId="44" fontId="77" fillId="0" borderId="16" xfId="1" applyFont="1" applyBorder="1" applyAlignment="1">
      <alignment horizontal="center"/>
    </xf>
    <xf numFmtId="0" fontId="61" fillId="0" borderId="16" xfId="0" applyFont="1" applyBorder="1" applyAlignment="1">
      <alignment wrapText="1"/>
    </xf>
    <xf numFmtId="44" fontId="61" fillId="0" borderId="27" xfId="1" applyFont="1" applyBorder="1" applyAlignment="1">
      <alignment horizontal="center"/>
    </xf>
    <xf numFmtId="0" fontId="61" fillId="0" borderId="0" xfId="0" applyFont="1" applyBorder="1"/>
    <xf numFmtId="44" fontId="61" fillId="0" borderId="5" xfId="0" applyNumberFormat="1" applyFont="1" applyBorder="1"/>
    <xf numFmtId="44" fontId="61" fillId="0" borderId="0" xfId="0" applyNumberFormat="1" applyFont="1" applyBorder="1"/>
    <xf numFmtId="44" fontId="60" fillId="0" borderId="0" xfId="0" applyNumberFormat="1" applyFont="1" applyAlignment="1">
      <alignment horizontal="center"/>
    </xf>
    <xf numFmtId="44" fontId="60" fillId="0" borderId="0" xfId="1" applyFont="1" applyBorder="1" applyAlignment="1">
      <alignment horizontal="center"/>
    </xf>
    <xf numFmtId="44" fontId="61" fillId="0" borderId="39" xfId="1" applyFont="1" applyBorder="1" applyAlignment="1">
      <alignment horizontal="center"/>
    </xf>
    <xf numFmtId="44" fontId="61" fillId="0" borderId="40" xfId="1" applyFont="1" applyBorder="1" applyAlignment="1">
      <alignment horizontal="center"/>
    </xf>
    <xf numFmtId="0" fontId="61" fillId="0" borderId="41" xfId="0" applyFont="1" applyBorder="1"/>
    <xf numFmtId="44" fontId="61" fillId="0" borderId="41" xfId="1" applyFont="1" applyBorder="1" applyAlignment="1">
      <alignment horizontal="center"/>
    </xf>
    <xf numFmtId="44" fontId="61" fillId="0" borderId="14" xfId="1" applyFont="1" applyBorder="1" applyAlignment="1">
      <alignment horizontal="center"/>
    </xf>
    <xf numFmtId="0" fontId="61" fillId="0" borderId="39" xfId="0" applyFont="1" applyBorder="1"/>
    <xf numFmtId="44" fontId="35" fillId="0" borderId="39" xfId="1" applyFont="1" applyBorder="1" applyAlignment="1">
      <alignment horizontal="center"/>
    </xf>
    <xf numFmtId="44" fontId="77" fillId="0" borderId="39" xfId="1" applyFont="1" applyBorder="1" applyAlignment="1">
      <alignment horizontal="center"/>
    </xf>
    <xf numFmtId="0" fontId="64" fillId="0" borderId="0" xfId="0" applyFont="1"/>
    <xf numFmtId="0" fontId="64" fillId="0" borderId="0" xfId="0" applyFont="1" applyBorder="1"/>
    <xf numFmtId="44" fontId="0" fillId="0" borderId="0" xfId="1" applyFont="1"/>
    <xf numFmtId="0" fontId="0" fillId="0" borderId="1" xfId="0" applyBorder="1"/>
    <xf numFmtId="44" fontId="64" fillId="0" borderId="0" xfId="0" applyNumberFormat="1" applyFont="1"/>
    <xf numFmtId="0" fontId="35" fillId="0" borderId="16" xfId="0" applyFont="1" applyBorder="1"/>
    <xf numFmtId="44" fontId="35" fillId="0" borderId="27" xfId="1" applyFont="1" applyBorder="1" applyAlignment="1">
      <alignment horizontal="center"/>
    </xf>
    <xf numFmtId="44" fontId="35" fillId="0" borderId="5" xfId="0" applyNumberFormat="1" applyFont="1" applyBorder="1"/>
    <xf numFmtId="44" fontId="84" fillId="0" borderId="0" xfId="0" applyNumberFormat="1" applyFont="1"/>
    <xf numFmtId="10" fontId="48" fillId="0" borderId="0" xfId="3" applyNumberFormat="1" applyFont="1" applyFill="1"/>
    <xf numFmtId="43" fontId="59" fillId="0" borderId="0" xfId="4" applyNumberFormat="1" applyFont="1" applyAlignment="1"/>
    <xf numFmtId="0" fontId="64" fillId="0" borderId="0" xfId="0" applyFont="1" applyAlignment="1">
      <alignment horizontal="center"/>
    </xf>
    <xf numFmtId="0" fontId="75" fillId="0" borderId="0" xfId="0" applyFont="1" applyAlignment="1">
      <alignment horizontal="center"/>
    </xf>
    <xf numFmtId="44" fontId="41" fillId="4" borderId="0" xfId="1" applyFont="1" applyFill="1" applyBorder="1"/>
    <xf numFmtId="10" fontId="42" fillId="0" borderId="0" xfId="3" applyNumberFormat="1" applyFont="1" applyFill="1" applyBorder="1" applyAlignment="1">
      <alignment horizontal="center"/>
    </xf>
    <xf numFmtId="10" fontId="41" fillId="0" borderId="0" xfId="3" applyNumberFormat="1" applyFont="1" applyFill="1" applyBorder="1" applyAlignment="1">
      <alignment horizontal="center"/>
    </xf>
    <xf numFmtId="0" fontId="49" fillId="0" borderId="0" xfId="0" applyFont="1" applyFill="1" applyBorder="1" applyAlignment="1">
      <alignment horizontal="left"/>
    </xf>
    <xf numFmtId="44" fontId="33" fillId="4" borderId="0" xfId="0" applyNumberFormat="1" applyFont="1" applyFill="1" applyBorder="1"/>
    <xf numFmtId="44" fontId="33" fillId="0" borderId="0" xfId="0" applyNumberFormat="1" applyFont="1" applyFill="1" applyBorder="1"/>
    <xf numFmtId="44" fontId="33" fillId="4" borderId="0" xfId="1" applyFont="1" applyFill="1" applyBorder="1"/>
    <xf numFmtId="10" fontId="50" fillId="0" borderId="0" xfId="3" applyNumberFormat="1" applyFont="1" applyFill="1" applyBorder="1" applyAlignment="1">
      <alignment horizontal="center"/>
    </xf>
    <xf numFmtId="4" fontId="33" fillId="4" borderId="0" xfId="0" applyNumberFormat="1" applyFont="1" applyFill="1" applyBorder="1" applyAlignment="1">
      <alignment horizontal="center"/>
    </xf>
    <xf numFmtId="4" fontId="33" fillId="3" borderId="0" xfId="0" applyNumberFormat="1" applyFont="1" applyFill="1" applyBorder="1" applyAlignment="1">
      <alignment horizontal="center"/>
    </xf>
    <xf numFmtId="44" fontId="41" fillId="4" borderId="0" xfId="1" applyFont="1" applyFill="1" applyBorder="1" applyAlignment="1">
      <alignment horizontal="center"/>
    </xf>
    <xf numFmtId="0" fontId="48" fillId="0" borderId="0" xfId="0" applyFont="1" applyFill="1" applyBorder="1" applyAlignment="1">
      <alignment horizontal="center"/>
    </xf>
    <xf numFmtId="44" fontId="41" fillId="4" borderId="1" xfId="1" applyFont="1" applyFill="1" applyBorder="1"/>
    <xf numFmtId="0" fontId="33" fillId="0" borderId="0" xfId="0" applyFont="1" applyFill="1" applyBorder="1" applyAlignment="1">
      <alignment vertical="center"/>
    </xf>
    <xf numFmtId="44" fontId="41" fillId="4" borderId="0" xfId="1" applyFont="1" applyFill="1" applyBorder="1" applyAlignment="1">
      <alignment wrapText="1"/>
    </xf>
    <xf numFmtId="0" fontId="42" fillId="0" borderId="0" xfId="0" applyFont="1" applyFill="1" applyBorder="1"/>
    <xf numFmtId="44" fontId="80" fillId="4" borderId="0" xfId="1" applyFont="1" applyFill="1" applyBorder="1"/>
    <xf numFmtId="44" fontId="41" fillId="4" borderId="0" xfId="1" applyNumberFormat="1" applyFont="1" applyFill="1" applyBorder="1"/>
    <xf numFmtId="44" fontId="33" fillId="3" borderId="0" xfId="0" applyNumberFormat="1" applyFont="1" applyFill="1" applyBorder="1"/>
    <xf numFmtId="164" fontId="80" fillId="4" borderId="0" xfId="0" applyNumberFormat="1" applyFont="1" applyFill="1" applyBorder="1"/>
    <xf numFmtId="44" fontId="41" fillId="3" borderId="0" xfId="1" applyNumberFormat="1" applyFont="1" applyFill="1" applyBorder="1"/>
    <xf numFmtId="44" fontId="33" fillId="4" borderId="0" xfId="0" applyNumberFormat="1" applyFont="1" applyFill="1" applyBorder="1" applyAlignment="1">
      <alignment vertical="center"/>
    </xf>
    <xf numFmtId="44" fontId="33" fillId="0" borderId="0" xfId="0" applyNumberFormat="1" applyFont="1" applyFill="1" applyBorder="1" applyAlignment="1">
      <alignment vertical="center"/>
    </xf>
    <xf numFmtId="44" fontId="33" fillId="3" borderId="0" xfId="0" applyNumberFormat="1" applyFont="1" applyFill="1" applyBorder="1" applyAlignment="1">
      <alignment vertical="center"/>
    </xf>
    <xf numFmtId="164" fontId="41" fillId="4" borderId="0" xfId="0" applyNumberFormat="1" applyFont="1" applyFill="1" applyBorder="1"/>
    <xf numFmtId="44" fontId="41" fillId="4" borderId="0" xfId="0" applyNumberFormat="1" applyFont="1" applyFill="1" applyBorder="1"/>
    <xf numFmtId="10" fontId="49" fillId="0" borderId="0" xfId="3" applyNumberFormat="1" applyFont="1" applyFill="1" applyBorder="1" applyAlignment="1">
      <alignment horizontal="center"/>
    </xf>
    <xf numFmtId="0" fontId="45" fillId="0" borderId="0" xfId="0" applyFont="1" applyFill="1" applyBorder="1" applyAlignment="1">
      <alignment horizontal="left" vertical="center"/>
    </xf>
    <xf numFmtId="164" fontId="45" fillId="4" borderId="0" xfId="0" applyNumberFormat="1" applyFont="1" applyFill="1" applyBorder="1"/>
    <xf numFmtId="44" fontId="45" fillId="3" borderId="0" xfId="1" applyFont="1" applyFill="1" applyBorder="1"/>
    <xf numFmtId="44" fontId="45" fillId="0" borderId="0" xfId="1" applyFont="1" applyFill="1" applyBorder="1"/>
    <xf numFmtId="164" fontId="33" fillId="0" borderId="0" xfId="0" applyNumberFormat="1" applyFont="1" applyFill="1" applyBorder="1" applyAlignment="1">
      <alignment vertical="center"/>
    </xf>
    <xf numFmtId="164" fontId="45" fillId="3" borderId="0" xfId="0" applyNumberFormat="1" applyFont="1" applyFill="1" applyBorder="1"/>
    <xf numFmtId="164" fontId="41" fillId="3" borderId="0" xfId="0" applyNumberFormat="1" applyFont="1" applyFill="1" applyBorder="1"/>
    <xf numFmtId="44" fontId="80" fillId="4" borderId="1" xfId="1" applyFont="1" applyFill="1" applyBorder="1"/>
    <xf numFmtId="0" fontId="10" fillId="0" borderId="0" xfId="4" applyFont="1"/>
    <xf numFmtId="0" fontId="88" fillId="0" borderId="38" xfId="0" applyFont="1" applyBorder="1" applyAlignment="1">
      <alignment horizontal="left" vertical="top" wrapText="1"/>
    </xf>
    <xf numFmtId="10" fontId="48" fillId="2" borderId="0" xfId="3" applyNumberFormat="1" applyFont="1" applyFill="1"/>
    <xf numFmtId="167" fontId="0" fillId="0" borderId="0" xfId="0" applyNumberFormat="1"/>
    <xf numFmtId="0" fontId="8" fillId="0" borderId="0" xfId="4" applyFont="1"/>
    <xf numFmtId="0" fontId="7" fillId="0" borderId="0" xfId="4" applyFont="1"/>
    <xf numFmtId="0" fontId="6" fillId="0" borderId="0" xfId="4" applyFont="1" applyFill="1"/>
    <xf numFmtId="0" fontId="59" fillId="0" borderId="0" xfId="4" applyFont="1" applyBorder="1"/>
    <xf numFmtId="0" fontId="72" fillId="0" borderId="0" xfId="4" applyFont="1" applyAlignment="1">
      <alignment horizontal="center"/>
    </xf>
    <xf numFmtId="0" fontId="9" fillId="0" borderId="0" xfId="4" applyFont="1" applyFill="1" applyBorder="1"/>
    <xf numFmtId="44" fontId="59" fillId="0" borderId="0" xfId="1" applyFont="1" applyFill="1" applyBorder="1"/>
    <xf numFmtId="44" fontId="59" fillId="0" borderId="0" xfId="1" applyNumberFormat="1" applyFont="1" applyFill="1" applyBorder="1"/>
    <xf numFmtId="0" fontId="84" fillId="0" borderId="38" xfId="0" applyFont="1" applyBorder="1" applyAlignment="1">
      <alignment horizontal="left" vertical="top" wrapText="1"/>
    </xf>
    <xf numFmtId="43" fontId="59" fillId="0" borderId="0" xfId="4" applyNumberFormat="1" applyFont="1" applyFill="1"/>
    <xf numFmtId="0" fontId="59" fillId="0" borderId="5" xfId="4" applyFont="1" applyFill="1" applyBorder="1" applyAlignment="1">
      <alignment wrapText="1"/>
    </xf>
    <xf numFmtId="44" fontId="59" fillId="0" borderId="6" xfId="1" applyFont="1" applyFill="1" applyBorder="1"/>
    <xf numFmtId="0" fontId="55" fillId="0" borderId="5" xfId="4" applyFont="1" applyBorder="1"/>
    <xf numFmtId="0" fontId="59" fillId="0" borderId="6" xfId="4" applyFont="1" applyBorder="1"/>
    <xf numFmtId="0" fontId="59" fillId="0" borderId="5" xfId="4" applyFont="1" applyFill="1" applyBorder="1" applyAlignment="1">
      <alignment horizontal="left" wrapText="1" indent="1"/>
    </xf>
    <xf numFmtId="44" fontId="59" fillId="0" borderId="6" xfId="1" applyNumberFormat="1" applyFont="1" applyFill="1" applyBorder="1"/>
    <xf numFmtId="0" fontId="6" fillId="0" borderId="5" xfId="4" applyFont="1" applyFill="1" applyBorder="1" applyAlignment="1">
      <alignment horizontal="left" indent="1"/>
    </xf>
    <xf numFmtId="0" fontId="31" fillId="0" borderId="5" xfId="4" applyBorder="1"/>
    <xf numFmtId="0" fontId="31" fillId="0" borderId="6" xfId="4" applyBorder="1"/>
    <xf numFmtId="0" fontId="55" fillId="0" borderId="5" xfId="4" applyFont="1" applyFill="1" applyBorder="1" applyAlignment="1"/>
    <xf numFmtId="0" fontId="31" fillId="0" borderId="5" xfId="4" applyFill="1" applyBorder="1"/>
    <xf numFmtId="44" fontId="31" fillId="0" borderId="6" xfId="1" applyFont="1" applyFill="1" applyBorder="1"/>
    <xf numFmtId="0" fontId="55" fillId="0" borderId="14" xfId="4" applyFont="1" applyFill="1" applyBorder="1"/>
    <xf numFmtId="44" fontId="55" fillId="0" borderId="1" xfId="4" applyNumberFormat="1" applyFont="1" applyFill="1" applyBorder="1"/>
    <xf numFmtId="44" fontId="55" fillId="0" borderId="15" xfId="4" applyNumberFormat="1" applyFont="1" applyFill="1" applyBorder="1"/>
    <xf numFmtId="0" fontId="0" fillId="0" borderId="0" xfId="0" applyBorder="1"/>
    <xf numFmtId="44" fontId="59" fillId="0" borderId="6" xfId="1" applyNumberFormat="1" applyFont="1" applyBorder="1" applyAlignment="1">
      <alignment horizontal="center"/>
    </xf>
    <xf numFmtId="44" fontId="87" fillId="0" borderId="15" xfId="1" applyNumberFormat="1" applyFont="1" applyBorder="1" applyAlignment="1">
      <alignment horizontal="center"/>
    </xf>
    <xf numFmtId="0" fontId="91" fillId="0" borderId="0" xfId="4" applyFont="1"/>
    <xf numFmtId="0" fontId="92" fillId="0" borderId="0" xfId="4" applyFont="1"/>
    <xf numFmtId="0" fontId="92" fillId="0" borderId="0" xfId="4" applyFont="1" applyBorder="1" applyAlignment="1">
      <alignment horizontal="left" wrapText="1"/>
    </xf>
    <xf numFmtId="0" fontId="92" fillId="0" borderId="0" xfId="0" applyFont="1" applyBorder="1"/>
    <xf numFmtId="0" fontId="94" fillId="0" borderId="0" xfId="4" applyFont="1"/>
    <xf numFmtId="0" fontId="95" fillId="0" borderId="0" xfId="4" applyFont="1"/>
    <xf numFmtId="0" fontId="96" fillId="0" borderId="0" xfId="0" applyFont="1"/>
    <xf numFmtId="0" fontId="93" fillId="0" borderId="0" xfId="0" applyFont="1" applyBorder="1" applyAlignment="1">
      <alignment horizontal="left"/>
    </xf>
    <xf numFmtId="0" fontId="92" fillId="0" borderId="0" xfId="0" applyFont="1" applyFill="1" applyBorder="1" applyAlignment="1">
      <alignment horizontal="left"/>
    </xf>
    <xf numFmtId="0" fontId="92" fillId="0" borderId="0" xfId="0" applyFont="1" applyFill="1" applyBorder="1"/>
    <xf numFmtId="44" fontId="98" fillId="0" borderId="0" xfId="1" applyFont="1" applyFill="1" applyBorder="1"/>
    <xf numFmtId="44" fontId="92" fillId="0" borderId="0" xfId="1" applyFont="1" applyFill="1" applyBorder="1"/>
    <xf numFmtId="4" fontId="93" fillId="4" borderId="0" xfId="0" applyNumberFormat="1" applyFont="1" applyFill="1" applyBorder="1" applyAlignment="1">
      <alignment horizontal="center"/>
    </xf>
    <xf numFmtId="4" fontId="93" fillId="3" borderId="0" xfId="0" applyNumberFormat="1" applyFont="1" applyFill="1" applyBorder="1" applyAlignment="1">
      <alignment horizontal="center"/>
    </xf>
    <xf numFmtId="44" fontId="92" fillId="0" borderId="0" xfId="1" applyFont="1" applyFill="1" applyBorder="1" applyAlignment="1">
      <alignment horizontal="center"/>
    </xf>
    <xf numFmtId="44" fontId="93" fillId="0" borderId="0" xfId="1" applyFont="1" applyFill="1" applyBorder="1" applyAlignment="1">
      <alignment horizontal="center"/>
    </xf>
    <xf numFmtId="44" fontId="92" fillId="4" borderId="0" xfId="1" applyFont="1" applyFill="1" applyBorder="1" applyAlignment="1">
      <alignment horizontal="center"/>
    </xf>
    <xf numFmtId="0" fontId="99" fillId="0" borderId="0" xfId="0" applyFont="1"/>
    <xf numFmtId="167" fontId="0" fillId="0" borderId="0" xfId="1" applyNumberFormat="1" applyFont="1" applyAlignment="1">
      <alignment horizontal="left"/>
    </xf>
    <xf numFmtId="167" fontId="0" fillId="0" borderId="0" xfId="0" applyNumberFormat="1" applyAlignment="1">
      <alignment horizontal="left"/>
    </xf>
    <xf numFmtId="0" fontId="64" fillId="0" borderId="0" xfId="0" applyFont="1" applyAlignment="1">
      <alignment horizontal="left"/>
    </xf>
    <xf numFmtId="0" fontId="100" fillId="0" borderId="0" xfId="0" applyFont="1"/>
    <xf numFmtId="0" fontId="0" fillId="0" borderId="0" xfId="0" applyAlignment="1">
      <alignment horizontal="right"/>
    </xf>
    <xf numFmtId="0" fontId="103" fillId="0" borderId="0" xfId="0" applyFont="1"/>
    <xf numFmtId="0" fontId="103" fillId="0" borderId="0" xfId="0" applyFont="1" applyAlignment="1">
      <alignment horizontal="right"/>
    </xf>
    <xf numFmtId="0" fontId="104" fillId="7" borderId="0" xfId="0" applyFont="1" applyFill="1"/>
    <xf numFmtId="0" fontId="104" fillId="7" borderId="0" xfId="0" applyFont="1" applyFill="1" applyAlignment="1">
      <alignment horizontal="right"/>
    </xf>
    <xf numFmtId="0" fontId="0" fillId="0" borderId="34" xfId="0" applyBorder="1" applyAlignment="1">
      <alignment horizontal="right"/>
    </xf>
    <xf numFmtId="44" fontId="0" fillId="0" borderId="0" xfId="0" applyNumberFormat="1" applyBorder="1" applyAlignment="1">
      <alignment horizontal="right"/>
    </xf>
    <xf numFmtId="0" fontId="59" fillId="0" borderId="5" xfId="21" applyFont="1" applyBorder="1" applyAlignment="1">
      <alignment horizontal="right"/>
    </xf>
    <xf numFmtId="0" fontId="59" fillId="0" borderId="0" xfId="21" applyFont="1" applyBorder="1" applyAlignment="1">
      <alignment horizontal="right"/>
    </xf>
    <xf numFmtId="0" fontId="49" fillId="7" borderId="0" xfId="0" applyFont="1" applyFill="1" applyBorder="1" applyAlignment="1">
      <alignment horizontal="left"/>
    </xf>
    <xf numFmtId="0" fontId="81" fillId="7" borderId="0" xfId="0" applyFont="1" applyFill="1" applyBorder="1" applyAlignment="1">
      <alignment horizontal="left"/>
    </xf>
    <xf numFmtId="0" fontId="33" fillId="7" borderId="0" xfId="0" applyFont="1" applyFill="1" applyBorder="1" applyAlignment="1">
      <alignment horizontal="left"/>
    </xf>
    <xf numFmtId="0" fontId="49" fillId="7" borderId="0" xfId="0" applyFont="1" applyFill="1" applyBorder="1"/>
    <xf numFmtId="0" fontId="76" fillId="7" borderId="0" xfId="0" applyFont="1" applyFill="1" applyBorder="1"/>
    <xf numFmtId="164" fontId="80" fillId="7" borderId="0" xfId="0" applyNumberFormat="1" applyFont="1" applyFill="1" applyBorder="1"/>
    <xf numFmtId="164" fontId="50" fillId="7" borderId="0" xfId="0" applyNumberFormat="1" applyFont="1" applyFill="1" applyBorder="1"/>
    <xf numFmtId="44" fontId="50" fillId="7" borderId="0" xfId="1" applyFont="1" applyFill="1" applyBorder="1"/>
    <xf numFmtId="0" fontId="50" fillId="7" borderId="0" xfId="0" applyFont="1" applyFill="1" applyBorder="1"/>
    <xf numFmtId="44" fontId="49" fillId="7" borderId="0" xfId="1" applyFont="1" applyFill="1" applyBorder="1"/>
    <xf numFmtId="0" fontId="49" fillId="7" borderId="0" xfId="0" applyFont="1" applyFill="1" applyBorder="1" applyAlignment="1">
      <alignment horizontal="left" vertical="center"/>
    </xf>
    <xf numFmtId="44" fontId="80" fillId="7" borderId="0" xfId="0" applyNumberFormat="1" applyFont="1" applyFill="1" applyBorder="1"/>
    <xf numFmtId="44" fontId="50" fillId="7" borderId="0" xfId="0" applyNumberFormat="1" applyFont="1" applyFill="1" applyBorder="1"/>
    <xf numFmtId="164" fontId="81" fillId="7" borderId="0" xfId="0" applyNumberFormat="1" applyFont="1" applyFill="1" applyBorder="1"/>
    <xf numFmtId="164" fontId="49" fillId="7" borderId="0" xfId="0" applyNumberFormat="1" applyFont="1" applyFill="1" applyBorder="1"/>
    <xf numFmtId="0" fontId="107" fillId="0" borderId="0" xfId="0" applyFont="1" applyBorder="1" applyAlignment="1">
      <alignment horizontal="left"/>
    </xf>
    <xf numFmtId="0" fontId="96" fillId="0" borderId="0" xfId="0" applyFont="1" applyBorder="1" applyAlignment="1">
      <alignment horizontal="left"/>
    </xf>
    <xf numFmtId="0" fontId="72" fillId="0" borderId="0" xfId="4" applyFont="1" applyBorder="1" applyAlignment="1">
      <alignment horizontal="center" wrapText="1"/>
    </xf>
    <xf numFmtId="0" fontId="55" fillId="0" borderId="6" xfId="4" applyFont="1" applyBorder="1" applyAlignment="1">
      <alignment horizontal="center" wrapText="1"/>
    </xf>
    <xf numFmtId="0" fontId="72" fillId="0" borderId="5" xfId="4" applyFont="1" applyFill="1" applyBorder="1" applyAlignment="1">
      <alignment wrapText="1"/>
    </xf>
    <xf numFmtId="0" fontId="105" fillId="7" borderId="40" xfId="4" applyFont="1" applyFill="1" applyBorder="1"/>
    <xf numFmtId="0" fontId="108" fillId="7" borderId="11" xfId="4" applyFont="1" applyFill="1" applyBorder="1" applyAlignment="1">
      <alignment horizontal="right"/>
    </xf>
    <xf numFmtId="43" fontId="59" fillId="0" borderId="6" xfId="4" applyNumberFormat="1" applyFont="1" applyBorder="1"/>
    <xf numFmtId="10" fontId="31" fillId="0" borderId="5" xfId="4" applyNumberFormat="1" applyBorder="1"/>
    <xf numFmtId="43" fontId="59" fillId="0" borderId="6" xfId="4" applyNumberFormat="1" applyFont="1" applyBorder="1" applyAlignment="1"/>
    <xf numFmtId="0" fontId="31" fillId="0" borderId="5" xfId="4" applyBorder="1" applyAlignment="1">
      <alignment horizontal="right"/>
    </xf>
    <xf numFmtId="43" fontId="59" fillId="0" borderId="15" xfId="4" applyNumberFormat="1" applyFont="1" applyBorder="1"/>
    <xf numFmtId="43" fontId="69" fillId="0" borderId="6" xfId="4" applyNumberFormat="1" applyFont="1" applyBorder="1"/>
    <xf numFmtId="0" fontId="69" fillId="0" borderId="6" xfId="4" applyFont="1" applyBorder="1"/>
    <xf numFmtId="0" fontId="11" fillId="0" borderId="5" xfId="4" applyFont="1" applyBorder="1" applyAlignment="1">
      <alignment horizontal="right"/>
    </xf>
    <xf numFmtId="0" fontId="16" fillId="0" borderId="5" xfId="4" applyFont="1" applyBorder="1" applyAlignment="1">
      <alignment horizontal="right"/>
    </xf>
    <xf numFmtId="0" fontId="5" fillId="0" borderId="5" xfId="4" applyFont="1" applyBorder="1" applyAlignment="1">
      <alignment horizontal="right"/>
    </xf>
    <xf numFmtId="0" fontId="31" fillId="0" borderId="5" xfId="4" applyBorder="1" applyAlignment="1">
      <alignment horizontal="left"/>
    </xf>
    <xf numFmtId="43" fontId="59" fillId="0" borderId="6" xfId="5" applyFont="1" applyBorder="1"/>
    <xf numFmtId="0" fontId="55" fillId="0" borderId="5" xfId="4" applyFont="1" applyBorder="1" applyAlignment="1">
      <alignment horizontal="left"/>
    </xf>
    <xf numFmtId="43" fontId="72" fillId="0" borderId="6" xfId="4" applyNumberFormat="1" applyFont="1" applyBorder="1"/>
    <xf numFmtId="0" fontId="31" fillId="0" borderId="14" xfId="4" applyBorder="1"/>
    <xf numFmtId="0" fontId="31" fillId="0" borderId="15" xfId="4" applyBorder="1"/>
    <xf numFmtId="43" fontId="59" fillId="0" borderId="5" xfId="4" applyNumberFormat="1" applyFont="1" applyBorder="1"/>
    <xf numFmtId="43" fontId="59" fillId="0" borderId="5" xfId="4" applyNumberFormat="1" applyFont="1" applyBorder="1" applyAlignment="1">
      <alignment horizontal="right"/>
    </xf>
    <xf numFmtId="0" fontId="59" fillId="0" borderId="5" xfId="4" applyFont="1" applyBorder="1"/>
    <xf numFmtId="0" fontId="59" fillId="0" borderId="5" xfId="4" applyFont="1" applyBorder="1" applyAlignment="1">
      <alignment horizontal="right"/>
    </xf>
    <xf numFmtId="0" fontId="59" fillId="0" borderId="42" xfId="4" applyFont="1" applyBorder="1"/>
    <xf numFmtId="43" fontId="55" fillId="0" borderId="5" xfId="4" applyNumberFormat="1" applyFont="1" applyBorder="1"/>
    <xf numFmtId="43" fontId="31" fillId="0" borderId="14" xfId="4" applyNumberFormat="1" applyBorder="1"/>
    <xf numFmtId="0" fontId="108" fillId="7" borderId="39" xfId="4" applyFont="1" applyFill="1" applyBorder="1" applyAlignment="1">
      <alignment horizontal="center"/>
    </xf>
    <xf numFmtId="0" fontId="110" fillId="7" borderId="43" xfId="4" applyFont="1" applyFill="1" applyBorder="1" applyAlignment="1">
      <alignment horizontal="center"/>
    </xf>
    <xf numFmtId="0" fontId="31" fillId="0" borderId="43" xfId="4" applyBorder="1"/>
    <xf numFmtId="0" fontId="4" fillId="0" borderId="5" xfId="21" applyFont="1" applyBorder="1" applyAlignment="1"/>
    <xf numFmtId="0" fontId="4" fillId="0" borderId="0" xfId="4" applyFont="1" applyBorder="1"/>
    <xf numFmtId="0" fontId="4" fillId="0" borderId="6" xfId="4" applyFont="1" applyBorder="1"/>
    <xf numFmtId="10" fontId="51" fillId="8" borderId="17" xfId="3" applyNumberFormat="1" applyFont="1" applyFill="1" applyBorder="1" applyAlignment="1">
      <alignment horizontal="center" vertical="center"/>
    </xf>
    <xf numFmtId="44" fontId="51" fillId="8" borderId="16" xfId="0" applyNumberFormat="1" applyFont="1" applyFill="1" applyBorder="1" applyAlignment="1">
      <alignment vertical="center"/>
    </xf>
    <xf numFmtId="0" fontId="104" fillId="7" borderId="0" xfId="0" applyFont="1" applyFill="1" applyAlignment="1">
      <alignment horizontal="left"/>
    </xf>
    <xf numFmtId="0" fontId="103" fillId="0" borderId="0" xfId="0" applyFont="1" applyAlignment="1">
      <alignment horizontal="left"/>
    </xf>
    <xf numFmtId="0" fontId="0" fillId="0" borderId="0" xfId="0" applyAlignment="1">
      <alignment horizontal="left"/>
    </xf>
    <xf numFmtId="0" fontId="103" fillId="0" borderId="38" xfId="0" applyFont="1" applyBorder="1"/>
    <xf numFmtId="0" fontId="103" fillId="0" borderId="38" xfId="0" applyFont="1" applyBorder="1" applyAlignment="1">
      <alignment horizontal="left"/>
    </xf>
    <xf numFmtId="0" fontId="103" fillId="0" borderId="38" xfId="0" applyFont="1" applyBorder="1" applyAlignment="1">
      <alignment horizontal="right"/>
    </xf>
    <xf numFmtId="0" fontId="0" fillId="0" borderId="38" xfId="0" applyBorder="1"/>
    <xf numFmtId="14" fontId="0" fillId="0" borderId="38" xfId="0" applyNumberFormat="1" applyBorder="1" applyAlignment="1">
      <alignment horizontal="left"/>
    </xf>
    <xf numFmtId="44" fontId="0" fillId="0" borderId="38" xfId="1" applyFont="1" applyBorder="1" applyAlignment="1">
      <alignment horizontal="right"/>
    </xf>
    <xf numFmtId="0" fontId="0" fillId="0" borderId="38" xfId="0" applyBorder="1" applyAlignment="1">
      <alignment horizontal="left"/>
    </xf>
    <xf numFmtId="0" fontId="0" fillId="0" borderId="0" xfId="0" applyBorder="1" applyAlignment="1">
      <alignment horizontal="left"/>
    </xf>
    <xf numFmtId="0" fontId="0" fillId="0" borderId="0" xfId="0" applyBorder="1" applyAlignment="1">
      <alignment horizontal="right"/>
    </xf>
    <xf numFmtId="44" fontId="41" fillId="7" borderId="0" xfId="1" applyFont="1" applyFill="1" applyBorder="1"/>
    <xf numFmtId="165" fontId="103" fillId="0" borderId="38" xfId="0" applyNumberFormat="1" applyFont="1" applyBorder="1" applyAlignment="1">
      <alignment horizontal="center" vertical="top"/>
    </xf>
    <xf numFmtId="0" fontId="103" fillId="0" borderId="38" xfId="0" applyFont="1" applyBorder="1" applyAlignment="1">
      <alignment horizontal="left" vertical="top" wrapText="1"/>
    </xf>
    <xf numFmtId="165" fontId="48" fillId="0" borderId="38" xfId="0" applyNumberFormat="1" applyFont="1" applyBorder="1" applyAlignment="1">
      <alignment horizontal="center" vertical="top"/>
    </xf>
    <xf numFmtId="0" fontId="48" fillId="0" borderId="38" xfId="0" applyFont="1" applyBorder="1" applyAlignment="1">
      <alignment horizontal="left" vertical="top" wrapText="1"/>
    </xf>
    <xf numFmtId="0" fontId="41" fillId="0" borderId="38" xfId="0" applyFont="1" applyBorder="1" applyAlignment="1">
      <alignment horizontal="left" vertical="top" wrapText="1"/>
    </xf>
    <xf numFmtId="0" fontId="33" fillId="0" borderId="38" xfId="0" applyFont="1" applyBorder="1" applyAlignment="1">
      <alignment horizontal="left" vertical="top" wrapText="1"/>
    </xf>
    <xf numFmtId="0" fontId="114" fillId="0" borderId="38" xfId="0" applyFont="1" applyBorder="1" applyAlignment="1">
      <alignment horizontal="left" vertical="top" wrapText="1"/>
    </xf>
    <xf numFmtId="165" fontId="48" fillId="0" borderId="0" xfId="0" applyNumberFormat="1" applyFont="1" applyAlignment="1">
      <alignment horizontal="center" vertical="top"/>
    </xf>
    <xf numFmtId="0" fontId="48" fillId="0" borderId="0" xfId="0" applyFont="1" applyAlignment="1">
      <alignment horizontal="left" vertical="top" wrapText="1"/>
    </xf>
    <xf numFmtId="0" fontId="59" fillId="0" borderId="43" xfId="4" applyFont="1" applyBorder="1" applyAlignment="1">
      <alignment horizontal="center"/>
    </xf>
    <xf numFmtId="0" fontId="59" fillId="0" borderId="41" xfId="4" applyFont="1" applyBorder="1" applyAlignment="1">
      <alignment horizontal="center"/>
    </xf>
    <xf numFmtId="0" fontId="59" fillId="0" borderId="0" xfId="4" applyFont="1" applyAlignment="1">
      <alignment horizontal="center"/>
    </xf>
    <xf numFmtId="6" fontId="111" fillId="7" borderId="6" xfId="4" applyNumberFormat="1" applyFont="1" applyFill="1" applyBorder="1" applyAlignment="1">
      <alignment horizontal="left"/>
    </xf>
    <xf numFmtId="0" fontId="0" fillId="0" borderId="38" xfId="0" applyBorder="1" applyAlignment="1">
      <alignment wrapText="1"/>
    </xf>
    <xf numFmtId="0" fontId="115" fillId="0" borderId="38" xfId="0" applyFont="1" applyBorder="1" applyAlignment="1">
      <alignment horizontal="left" vertical="top" wrapText="1"/>
    </xf>
    <xf numFmtId="165" fontId="41" fillId="0" borderId="38" xfId="0" applyNumberFormat="1" applyFont="1" applyBorder="1" applyAlignment="1">
      <alignment horizontal="center" vertical="top"/>
    </xf>
    <xf numFmtId="44" fontId="116" fillId="0" borderId="0" xfId="1" applyFont="1" applyFill="1" applyBorder="1"/>
    <xf numFmtId="0" fontId="46" fillId="0" borderId="0" xfId="0" applyFont="1" applyBorder="1" applyAlignment="1">
      <alignment vertical="center"/>
    </xf>
    <xf numFmtId="168" fontId="0" fillId="0" borderId="0" xfId="3" applyNumberFormat="1" applyFont="1"/>
    <xf numFmtId="0" fontId="64" fillId="0" borderId="0" xfId="0" applyFont="1" applyAlignment="1">
      <alignment horizontal="center"/>
    </xf>
    <xf numFmtId="0" fontId="75" fillId="0" borderId="0" xfId="0" applyFont="1" applyAlignment="1">
      <alignment horizontal="center"/>
    </xf>
    <xf numFmtId="0" fontId="102" fillId="0" borderId="0" xfId="0" applyFont="1" applyBorder="1"/>
    <xf numFmtId="0" fontId="93" fillId="0" borderId="0" xfId="4" applyFont="1" applyBorder="1" applyAlignment="1"/>
    <xf numFmtId="0" fontId="101" fillId="0" borderId="0" xfId="0" applyFont="1" applyBorder="1"/>
    <xf numFmtId="0" fontId="63" fillId="0" borderId="0" xfId="4" applyFont="1" applyAlignment="1"/>
    <xf numFmtId="0" fontId="0" fillId="0" borderId="0" xfId="0" applyAlignment="1">
      <alignment vertical="center" wrapText="1"/>
    </xf>
    <xf numFmtId="0" fontId="64" fillId="0" borderId="0" xfId="0" applyFont="1" applyAlignment="1"/>
    <xf numFmtId="0" fontId="75" fillId="0" borderId="0" xfId="0" applyFont="1" applyAlignment="1"/>
    <xf numFmtId="0" fontId="118" fillId="0" borderId="0" xfId="0" applyFont="1" applyAlignment="1">
      <alignment horizontal="center" vertical="center" wrapText="1"/>
    </xf>
    <xf numFmtId="14" fontId="0" fillId="0" borderId="0" xfId="0" applyNumberFormat="1"/>
    <xf numFmtId="44" fontId="59" fillId="0" borderId="43" xfId="1" applyFont="1" applyBorder="1" applyAlignment="1">
      <alignment horizontal="center"/>
    </xf>
    <xf numFmtId="0" fontId="92" fillId="0" borderId="0" xfId="0" applyFont="1" applyFill="1" applyBorder="1" applyAlignment="1">
      <alignment horizontal="left" wrapText="1"/>
    </xf>
    <xf numFmtId="0" fontId="2" fillId="0" borderId="5" xfId="4" applyFont="1" applyBorder="1"/>
    <xf numFmtId="0" fontId="51" fillId="8" borderId="17" xfId="0" applyFont="1" applyFill="1" applyBorder="1" applyAlignment="1">
      <alignment horizontal="center"/>
    </xf>
    <xf numFmtId="164" fontId="82" fillId="0" borderId="0" xfId="1" applyNumberFormat="1" applyFont="1" applyBorder="1"/>
    <xf numFmtId="44" fontId="33" fillId="2" borderId="0" xfId="0" applyNumberFormat="1" applyFont="1" applyFill="1" applyBorder="1"/>
    <xf numFmtId="43" fontId="69" fillId="0" borderId="15" xfId="4" applyNumberFormat="1" applyFont="1" applyBorder="1"/>
    <xf numFmtId="43" fontId="69" fillId="0" borderId="42" xfId="4" applyNumberFormat="1" applyFont="1" applyBorder="1"/>
    <xf numFmtId="0" fontId="69" fillId="0" borderId="15" xfId="4" applyFont="1" applyBorder="1"/>
    <xf numFmtId="0" fontId="1" fillId="0" borderId="5" xfId="4" applyFont="1" applyBorder="1" applyAlignment="1">
      <alignment horizontal="right"/>
    </xf>
    <xf numFmtId="14" fontId="3" fillId="0" borderId="0" xfId="4" applyNumberFormat="1" applyFont="1" applyAlignment="1">
      <alignment horizontal="left"/>
    </xf>
    <xf numFmtId="44" fontId="119" fillId="0" borderId="0" xfId="1" applyFont="1" applyFill="1" applyBorder="1"/>
    <xf numFmtId="44" fontId="119" fillId="0" borderId="1" xfId="1" applyFont="1" applyFill="1" applyBorder="1"/>
    <xf numFmtId="0" fontId="48" fillId="0" borderId="38" xfId="0" applyFont="1" applyBorder="1"/>
    <xf numFmtId="10" fontId="89" fillId="2" borderId="0" xfId="3" applyNumberFormat="1" applyFont="1" applyFill="1"/>
    <xf numFmtId="44" fontId="73" fillId="0" borderId="38" xfId="1" applyFont="1" applyBorder="1" applyAlignment="1">
      <alignment horizontal="right"/>
    </xf>
    <xf numFmtId="0" fontId="59" fillId="0" borderId="0" xfId="21" applyFont="1" applyBorder="1" applyAlignment="1">
      <alignment horizontal="right"/>
    </xf>
    <xf numFmtId="44" fontId="0" fillId="0" borderId="0" xfId="0" applyNumberFormat="1"/>
    <xf numFmtId="0" fontId="64" fillId="0" borderId="0" xfId="0" applyFont="1" applyAlignment="1">
      <alignment horizontal="center"/>
    </xf>
    <xf numFmtId="0" fontId="75" fillId="0" borderId="0" xfId="0" applyFont="1" applyAlignment="1">
      <alignment horizontal="center"/>
    </xf>
    <xf numFmtId="0" fontId="65" fillId="0" borderId="0" xfId="0" applyFont="1" applyAlignment="1">
      <alignment horizontal="center"/>
    </xf>
    <xf numFmtId="0" fontId="74" fillId="0" borderId="0" xfId="0" applyFont="1" applyAlignment="1">
      <alignment horizontal="center"/>
    </xf>
    <xf numFmtId="166" fontId="0" fillId="0" borderId="0" xfId="0" applyNumberFormat="1" applyAlignment="1">
      <alignment horizontal="center"/>
    </xf>
    <xf numFmtId="0" fontId="117" fillId="9" borderId="40" xfId="0" applyFont="1" applyFill="1" applyBorder="1" applyAlignment="1">
      <alignment horizontal="center" vertical="center" wrapText="1"/>
    </xf>
    <xf numFmtId="0" fontId="117" fillId="9" borderId="10" xfId="0" applyFont="1" applyFill="1" applyBorder="1" applyAlignment="1">
      <alignment horizontal="center" vertical="center" wrapText="1"/>
    </xf>
    <xf numFmtId="0" fontId="117" fillId="9" borderId="11" xfId="0" applyFont="1" applyFill="1" applyBorder="1" applyAlignment="1">
      <alignment horizontal="center" vertical="center" wrapText="1"/>
    </xf>
    <xf numFmtId="0" fontId="117" fillId="9" borderId="5" xfId="0" applyFont="1" applyFill="1" applyBorder="1" applyAlignment="1">
      <alignment horizontal="center" vertical="center" wrapText="1"/>
    </xf>
    <xf numFmtId="0" fontId="117" fillId="9" borderId="0" xfId="0" applyFont="1" applyFill="1" applyBorder="1" applyAlignment="1">
      <alignment horizontal="center" vertical="center" wrapText="1"/>
    </xf>
    <xf numFmtId="0" fontId="117" fillId="9" borderId="6" xfId="0" applyFont="1" applyFill="1" applyBorder="1" applyAlignment="1">
      <alignment horizontal="center" vertical="center" wrapText="1"/>
    </xf>
    <xf numFmtId="0" fontId="117" fillId="9" borderId="14" xfId="0" applyFont="1" applyFill="1" applyBorder="1" applyAlignment="1">
      <alignment horizontal="center" vertical="center" wrapText="1"/>
    </xf>
    <xf numFmtId="0" fontId="117" fillId="9" borderId="1" xfId="0" applyFont="1" applyFill="1" applyBorder="1" applyAlignment="1">
      <alignment horizontal="center" vertical="center" wrapText="1"/>
    </xf>
    <xf numFmtId="0" fontId="117" fillId="9" borderId="15" xfId="0" applyFont="1" applyFill="1" applyBorder="1" applyAlignment="1">
      <alignment horizontal="center" vertical="center" wrapText="1"/>
    </xf>
    <xf numFmtId="0" fontId="106" fillId="7" borderId="40" xfId="4" applyFont="1" applyFill="1" applyBorder="1" applyAlignment="1">
      <alignment horizontal="center" vertical="center" wrapText="1"/>
    </xf>
    <xf numFmtId="0" fontId="106" fillId="7" borderId="10" xfId="4" applyFont="1" applyFill="1" applyBorder="1" applyAlignment="1">
      <alignment horizontal="center" vertical="center" wrapText="1"/>
    </xf>
    <xf numFmtId="0" fontId="106" fillId="7" borderId="11" xfId="4" applyFont="1" applyFill="1" applyBorder="1" applyAlignment="1">
      <alignment horizontal="center" vertical="center" wrapText="1"/>
    </xf>
    <xf numFmtId="0" fontId="106" fillId="7" borderId="5" xfId="4" applyFont="1" applyFill="1" applyBorder="1" applyAlignment="1">
      <alignment horizontal="center" vertical="center" wrapText="1"/>
    </xf>
    <xf numFmtId="0" fontId="106" fillId="7" borderId="0" xfId="4" applyFont="1" applyFill="1" applyBorder="1" applyAlignment="1">
      <alignment horizontal="center" vertical="center" wrapText="1"/>
    </xf>
    <xf numFmtId="0" fontId="106" fillId="7" borderId="6" xfId="4" applyFont="1" applyFill="1" applyBorder="1" applyAlignment="1">
      <alignment horizontal="center" vertical="center" wrapText="1"/>
    </xf>
    <xf numFmtId="0" fontId="90" fillId="0" borderId="0" xfId="4" applyFont="1" applyBorder="1" applyAlignment="1">
      <alignment horizontal="left" wrapText="1"/>
    </xf>
    <xf numFmtId="0" fontId="58" fillId="0" borderId="0" xfId="4" applyFont="1" applyAlignment="1">
      <alignment horizontal="left" vertical="center" wrapText="1"/>
    </xf>
    <xf numFmtId="0" fontId="59" fillId="0" borderId="5" xfId="21" applyFont="1" applyBorder="1" applyAlignment="1">
      <alignment horizontal="right"/>
    </xf>
    <xf numFmtId="0" fontId="59" fillId="0" borderId="0" xfId="21" applyFont="1" applyBorder="1" applyAlignment="1">
      <alignment horizontal="right"/>
    </xf>
    <xf numFmtId="0" fontId="87" fillId="0" borderId="14" xfId="4" applyFont="1" applyBorder="1" applyAlignment="1">
      <alignment horizontal="right"/>
    </xf>
    <xf numFmtId="0" fontId="87" fillId="0" borderId="1" xfId="4" applyFont="1" applyBorder="1" applyAlignment="1">
      <alignment horizontal="right"/>
    </xf>
    <xf numFmtId="0" fontId="106" fillId="7" borderId="40" xfId="4" applyFont="1" applyFill="1" applyBorder="1" applyAlignment="1">
      <alignment horizontal="center"/>
    </xf>
    <xf numFmtId="0" fontId="106" fillId="7" borderId="10" xfId="4" applyFont="1" applyFill="1" applyBorder="1" applyAlignment="1">
      <alignment horizontal="center"/>
    </xf>
    <xf numFmtId="0" fontId="106" fillId="7" borderId="11" xfId="4" applyFont="1" applyFill="1" applyBorder="1" applyAlignment="1">
      <alignment horizontal="center"/>
    </xf>
    <xf numFmtId="0" fontId="109" fillId="7" borderId="5" xfId="4" applyFont="1" applyFill="1" applyBorder="1" applyAlignment="1">
      <alignment horizontal="right"/>
    </xf>
    <xf numFmtId="0" fontId="109" fillId="7" borderId="0" xfId="4" applyFont="1" applyFill="1" applyBorder="1" applyAlignment="1">
      <alignment horizontal="right"/>
    </xf>
    <xf numFmtId="0" fontId="92" fillId="0" borderId="0" xfId="0" applyFont="1" applyFill="1" applyBorder="1" applyAlignment="1">
      <alignment horizontal="left" wrapText="1"/>
    </xf>
    <xf numFmtId="0" fontId="61" fillId="0" borderId="0" xfId="0" applyFont="1" applyAlignment="1">
      <alignment horizontal="center"/>
    </xf>
    <xf numFmtId="0" fontId="62" fillId="0" borderId="12" xfId="0" applyFont="1" applyBorder="1" applyAlignment="1">
      <alignment horizontal="left"/>
    </xf>
    <xf numFmtId="0" fontId="62" fillId="0" borderId="13" xfId="0" applyFont="1" applyBorder="1" applyAlignment="1">
      <alignment horizontal="left"/>
    </xf>
    <xf numFmtId="0" fontId="62" fillId="0" borderId="16" xfId="0" applyFont="1" applyBorder="1" applyAlignment="1">
      <alignment horizontal="left"/>
    </xf>
    <xf numFmtId="0" fontId="62" fillId="0" borderId="12" xfId="0" applyFont="1" applyBorder="1" applyAlignment="1">
      <alignment horizontal="left" vertical="center"/>
    </xf>
    <xf numFmtId="0" fontId="62" fillId="0" borderId="13" xfId="0" applyFont="1" applyBorder="1" applyAlignment="1">
      <alignment horizontal="left" vertical="center"/>
    </xf>
    <xf numFmtId="44" fontId="97" fillId="0" borderId="34" xfId="1" applyFont="1" applyFill="1" applyBorder="1" applyAlignment="1">
      <alignment horizontal="center"/>
    </xf>
    <xf numFmtId="0" fontId="53" fillId="8" borderId="27" xfId="0" applyFont="1" applyFill="1" applyBorder="1" applyAlignment="1">
      <alignment horizontal="right" vertical="center"/>
    </xf>
    <xf numFmtId="0" fontId="54" fillId="8" borderId="13" xfId="0" applyFont="1" applyFill="1" applyBorder="1" applyAlignment="1">
      <alignment horizontal="right" vertical="center"/>
    </xf>
    <xf numFmtId="0" fontId="54" fillId="0" borderId="0" xfId="0" applyFont="1" applyBorder="1" applyAlignment="1">
      <alignment horizontal="right" vertical="top" wrapText="1"/>
    </xf>
    <xf numFmtId="0" fontId="48" fillId="0" borderId="16" xfId="0" applyFont="1" applyBorder="1" applyAlignment="1">
      <alignment horizontal="center" wrapText="1"/>
    </xf>
    <xf numFmtId="0" fontId="48" fillId="0" borderId="16" xfId="0" applyFont="1" applyBorder="1" applyAlignment="1">
      <alignment horizontal="center"/>
    </xf>
    <xf numFmtId="0" fontId="112" fillId="0" borderId="0" xfId="0" applyFont="1" applyBorder="1" applyAlignment="1">
      <alignment horizontal="center" vertical="center" wrapText="1"/>
    </xf>
    <xf numFmtId="0" fontId="55" fillId="3" borderId="28" xfId="4" applyFont="1" applyFill="1" applyBorder="1" applyAlignment="1">
      <alignment horizontal="center"/>
    </xf>
    <xf numFmtId="0" fontId="55" fillId="3" borderId="29" xfId="4" applyFont="1" applyFill="1" applyBorder="1" applyAlignment="1">
      <alignment horizontal="center"/>
    </xf>
    <xf numFmtId="0" fontId="55" fillId="3" borderId="30" xfId="4" applyFont="1" applyFill="1" applyBorder="1" applyAlignment="1">
      <alignment horizontal="center"/>
    </xf>
    <xf numFmtId="0" fontId="55" fillId="3" borderId="24" xfId="4" applyFont="1" applyFill="1" applyBorder="1" applyAlignment="1">
      <alignment horizontal="center"/>
    </xf>
    <xf numFmtId="0" fontId="55" fillId="3" borderId="1" xfId="4" applyFont="1" applyFill="1" applyBorder="1" applyAlignment="1">
      <alignment horizontal="center"/>
    </xf>
    <xf numFmtId="0" fontId="55" fillId="3" borderId="32" xfId="4" applyFont="1" applyFill="1" applyBorder="1" applyAlignment="1">
      <alignment horizontal="center"/>
    </xf>
    <xf numFmtId="0" fontId="55" fillId="0" borderId="33" xfId="4" applyFont="1" applyBorder="1" applyAlignment="1">
      <alignment horizontal="right"/>
    </xf>
    <xf numFmtId="0" fontId="55" fillId="0" borderId="34" xfId="4" applyFont="1" applyBorder="1" applyAlignment="1">
      <alignment horizontal="right"/>
    </xf>
    <xf numFmtId="0" fontId="55" fillId="0" borderId="28" xfId="4" applyFont="1" applyBorder="1" applyAlignment="1">
      <alignment horizontal="center"/>
    </xf>
    <xf numFmtId="0" fontId="55" fillId="0" borderId="29" xfId="4" applyFont="1" applyBorder="1" applyAlignment="1">
      <alignment horizontal="center"/>
    </xf>
    <xf numFmtId="0" fontId="55" fillId="0" borderId="30" xfId="4" applyFont="1" applyBorder="1" applyAlignment="1">
      <alignment horizontal="center"/>
    </xf>
    <xf numFmtId="0" fontId="58" fillId="0" borderId="24" xfId="4" applyFont="1" applyBorder="1" applyAlignment="1">
      <alignment horizontal="center"/>
    </xf>
    <xf numFmtId="0" fontId="58" fillId="0" borderId="1" xfId="4" applyFont="1" applyBorder="1" applyAlignment="1">
      <alignment horizontal="center"/>
    </xf>
    <xf numFmtId="0" fontId="58" fillId="0" borderId="32" xfId="4" applyFont="1" applyBorder="1" applyAlignment="1">
      <alignment horizontal="center"/>
    </xf>
    <xf numFmtId="0" fontId="18" fillId="0" borderId="2" xfId="4" applyFont="1" applyBorder="1" applyAlignment="1">
      <alignment horizontal="right"/>
    </xf>
    <xf numFmtId="0" fontId="31" fillId="0" borderId="0" xfId="4" applyBorder="1" applyAlignment="1">
      <alignment horizontal="right"/>
    </xf>
    <xf numFmtId="0" fontId="24" fillId="0" borderId="2" xfId="8" applyFont="1" applyBorder="1" applyAlignment="1">
      <alignment horizontal="right"/>
    </xf>
    <xf numFmtId="0" fontId="24" fillId="0" borderId="0" xfId="8" applyBorder="1" applyAlignment="1">
      <alignment horizontal="right"/>
    </xf>
    <xf numFmtId="0" fontId="55" fillId="0" borderId="33" xfId="8" applyFont="1" applyBorder="1" applyAlignment="1">
      <alignment horizontal="right"/>
    </xf>
    <xf numFmtId="0" fontId="55" fillId="0" borderId="34" xfId="8" applyFont="1" applyBorder="1" applyAlignment="1">
      <alignment horizontal="right"/>
    </xf>
    <xf numFmtId="0" fontId="55" fillId="0" borderId="28" xfId="8" applyFont="1" applyBorder="1" applyAlignment="1">
      <alignment horizontal="center"/>
    </xf>
    <xf numFmtId="0" fontId="55" fillId="0" borderId="29" xfId="8" applyFont="1" applyBorder="1" applyAlignment="1">
      <alignment horizontal="center"/>
    </xf>
    <xf numFmtId="0" fontId="55" fillId="0" borderId="30" xfId="8" applyFont="1" applyBorder="1" applyAlignment="1">
      <alignment horizontal="center"/>
    </xf>
    <xf numFmtId="0" fontId="55" fillId="0" borderId="24" xfId="8" applyFont="1" applyBorder="1" applyAlignment="1">
      <alignment horizontal="center"/>
    </xf>
    <xf numFmtId="0" fontId="55" fillId="0" borderId="1" xfId="8" applyFont="1" applyBorder="1" applyAlignment="1">
      <alignment horizontal="center"/>
    </xf>
    <xf numFmtId="0" fontId="55" fillId="0" borderId="32" xfId="8" applyFont="1" applyBorder="1" applyAlignment="1">
      <alignment horizontal="center"/>
    </xf>
    <xf numFmtId="0" fontId="58" fillId="0" borderId="24" xfId="8" applyFont="1" applyBorder="1" applyAlignment="1">
      <alignment horizontal="center"/>
    </xf>
    <xf numFmtId="0" fontId="58" fillId="0" borderId="1" xfId="8" applyFont="1" applyBorder="1" applyAlignment="1">
      <alignment horizontal="center"/>
    </xf>
    <xf numFmtId="0" fontId="58" fillId="0" borderId="32" xfId="8" applyFont="1" applyBorder="1" applyAlignment="1">
      <alignment horizontal="center"/>
    </xf>
    <xf numFmtId="44" fontId="33" fillId="0" borderId="34" xfId="1" applyFont="1" applyFill="1" applyBorder="1" applyAlignment="1">
      <alignment horizontal="center"/>
    </xf>
    <xf numFmtId="0" fontId="53" fillId="4" borderId="27" xfId="0" applyFont="1" applyFill="1" applyBorder="1" applyAlignment="1">
      <alignment horizontal="right" vertical="center"/>
    </xf>
    <xf numFmtId="0" fontId="54" fillId="4" borderId="13" xfId="0" applyFont="1" applyFill="1" applyBorder="1" applyAlignment="1">
      <alignment horizontal="right" vertical="center"/>
    </xf>
    <xf numFmtId="0" fontId="62" fillId="0" borderId="37" xfId="0" applyFont="1" applyBorder="1" applyAlignment="1">
      <alignment horizontal="left" vertical="center"/>
    </xf>
    <xf numFmtId="0" fontId="62" fillId="0" borderId="37" xfId="0" applyFont="1" applyBorder="1" applyAlignment="1">
      <alignment horizontal="left"/>
    </xf>
    <xf numFmtId="0" fontId="62" fillId="0" borderId="27" xfId="0" applyFont="1" applyBorder="1" applyAlignment="1">
      <alignment horizontal="left"/>
    </xf>
  </cellXfs>
  <cellStyles count="22">
    <cellStyle name="Comma" xfId="5" builtinId="3"/>
    <cellStyle name="Currency" xfId="1" builtinId="4"/>
    <cellStyle name="Currency 2" xfId="7"/>
    <cellStyle name="Currency 2 2" xfId="12"/>
    <cellStyle name="Currency 2 2 2" xfId="20"/>
    <cellStyle name="Currency 2 3" xfId="16"/>
    <cellStyle name="Normal" xfId="0" builtinId="0"/>
    <cellStyle name="Normal 2" xfId="4"/>
    <cellStyle name="Normal 2 2" xfId="8"/>
    <cellStyle name="Normal 2 2 2" xfId="13"/>
    <cellStyle name="Normal 2 2 2 2" xfId="21"/>
    <cellStyle name="Normal 2 2 3" xfId="17"/>
    <cellStyle name="Normal 2 3" xfId="10"/>
    <cellStyle name="Normal 2 3 2" xfId="18"/>
    <cellStyle name="Normal 2 4" xfId="14"/>
    <cellStyle name="Normal 3" xfId="6"/>
    <cellStyle name="Normal 3 2" xfId="11"/>
    <cellStyle name="Normal 3 2 2" xfId="19"/>
    <cellStyle name="Normal 3 3" xfId="15"/>
    <cellStyle name="Normal_budget formula testing" xfId="2"/>
    <cellStyle name="Percent" xfId="3" builtinId="5"/>
    <cellStyle name="Percent 2" xfId="9"/>
  </cellStyles>
  <dxfs count="6">
    <dxf>
      <font>
        <color theme="0"/>
      </font>
      <numFmt numFmtId="164" formatCode="&quot;$&quot;#,##0.00"/>
      <fill>
        <patternFill>
          <bgColor rgb="FFFF0000"/>
        </patternFill>
      </fill>
    </dxf>
    <dxf>
      <font>
        <color rgb="FF9C0006"/>
      </font>
      <fill>
        <patternFill>
          <bgColor rgb="FFFFC7CE"/>
        </patternFill>
      </fill>
    </dxf>
    <dxf>
      <font>
        <color theme="0"/>
      </font>
      <numFmt numFmtId="164" formatCode="&quot;$&quot;#,##0.00"/>
      <fill>
        <patternFill>
          <bgColor rgb="FFFF0000"/>
        </patternFill>
      </fill>
    </dxf>
    <dxf>
      <font>
        <b/>
        <i val="0"/>
        <color rgb="FFFF0000"/>
      </font>
    </dxf>
    <dxf>
      <font>
        <color theme="0"/>
      </font>
      <numFmt numFmtId="164" formatCode="&quot;$&quot;#,##0.00"/>
      <fill>
        <patternFill>
          <bgColor rgb="FFFF0000"/>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Breakout of Expenses</a:t>
            </a:r>
          </a:p>
        </c:rich>
      </c:tx>
      <c:overlay val="0"/>
    </c:title>
    <c:autoTitleDeleted val="0"/>
    <c:plotArea>
      <c:layout/>
      <c:pieChart>
        <c:varyColors val="1"/>
        <c:ser>
          <c:idx val="0"/>
          <c:order val="0"/>
          <c:tx>
            <c:strRef>
              <c:f>'Pie Chart'!$N$4</c:f>
              <c:strCache>
                <c:ptCount val="1"/>
                <c:pt idx="0">
                  <c:v>Amount</c:v>
                </c:pt>
              </c:strCache>
            </c:strRef>
          </c:tx>
          <c:dLbls>
            <c:dLbl>
              <c:idx val="3"/>
              <c:layout>
                <c:manualLayout>
                  <c:x val="-1.1954732129072099E-2"/>
                  <c:y val="-1.6458783360044596E-2"/>
                </c:manualLayout>
              </c:layout>
              <c:dLblPos val="bestFit"/>
              <c:showLegendKey val="1"/>
              <c:showVal val="1"/>
              <c:showCatName val="1"/>
              <c:showSerName val="0"/>
              <c:showPercent val="1"/>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194-4C5B-BB58-BC74E9E49700}"/>
                </c:ext>
              </c:extLst>
            </c:dLbl>
            <c:dLbl>
              <c:idx val="4"/>
              <c:layout>
                <c:manualLayout>
                  <c:x val="-1.2373012197004775E-2"/>
                  <c:y val="-1.9967874386072053E-2"/>
                </c:manualLayout>
              </c:layout>
              <c:dLblPos val="bestFit"/>
              <c:showLegendKey val="1"/>
              <c:showVal val="1"/>
              <c:showCatName val="1"/>
              <c:showSerName val="0"/>
              <c:showPercent val="1"/>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194-4C5B-BB58-BC74E9E49700}"/>
                </c:ext>
              </c:extLst>
            </c:dLbl>
            <c:dLbl>
              <c:idx val="5"/>
              <c:layout>
                <c:manualLayout>
                  <c:x val="-9.9170603674540708E-3"/>
                  <c:y val="-2.000361065977866E-2"/>
                </c:manualLayout>
              </c:layout>
              <c:dLblPos val="bestFit"/>
              <c:showLegendKey val="1"/>
              <c:showVal val="1"/>
              <c:showCatName val="1"/>
              <c:showSerName val="0"/>
              <c:showPercent val="1"/>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194-4C5B-BB58-BC74E9E49700}"/>
                </c:ext>
              </c:extLst>
            </c:dLbl>
            <c:dLbl>
              <c:idx val="6"/>
              <c:layout>
                <c:manualLayout>
                  <c:x val="-2.5721661262930368E-2"/>
                  <c:y val="8.0402912598888168E-3"/>
                </c:manualLayout>
              </c:layout>
              <c:dLblPos val="bestFit"/>
              <c:showLegendKey val="1"/>
              <c:showVal val="1"/>
              <c:showCatName val="1"/>
              <c:showSerName val="0"/>
              <c:showPercent val="1"/>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194-4C5B-BB58-BC74E9E49700}"/>
                </c:ext>
              </c:extLst>
            </c:dLbl>
            <c:dLbl>
              <c:idx val="8"/>
              <c:layout>
                <c:manualLayout>
                  <c:x val="-2.7787555967268802E-2"/>
                  <c:y val="2.0498178468432202E-2"/>
                </c:manualLayout>
              </c:layout>
              <c:dLblPos val="bestFit"/>
              <c:showLegendKey val="1"/>
              <c:showVal val="1"/>
              <c:showCatName val="1"/>
              <c:showSerName val="0"/>
              <c:showPercent val="1"/>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194-4C5B-BB58-BC74E9E49700}"/>
                </c:ext>
              </c:extLst>
            </c:dLbl>
            <c:dLbl>
              <c:idx val="9"/>
              <c:layout>
                <c:manualLayout>
                  <c:x val="-1.7469816272965882E-2"/>
                  <c:y val="3.0784114948594392E-2"/>
                </c:manualLayout>
              </c:layout>
              <c:dLblPos val="bestFit"/>
              <c:showLegendKey val="1"/>
              <c:showVal val="1"/>
              <c:showCatName val="1"/>
              <c:showSerName val="0"/>
              <c:showPercent val="1"/>
              <c:showBubbleSize val="0"/>
              <c:separator>; </c:separator>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194-4C5B-BB58-BC74E9E49700}"/>
                </c:ext>
              </c:extLst>
            </c:dLbl>
            <c:spPr>
              <a:noFill/>
              <a:ln>
                <a:noFill/>
              </a:ln>
              <a:effectLst/>
            </c:spPr>
            <c:dLblPos val="bestFit"/>
            <c:showLegendKey val="1"/>
            <c:showVal val="1"/>
            <c:showCatName val="1"/>
            <c:showSerName val="0"/>
            <c:showPercent val="1"/>
            <c:showBubbleSize val="0"/>
            <c:separator>; </c:separator>
            <c:showLeaderLines val="1"/>
            <c:extLst xmlns:c16r2="http://schemas.microsoft.com/office/drawing/2015/06/chart">
              <c:ext xmlns:c15="http://schemas.microsoft.com/office/drawing/2012/chart" uri="{CE6537A1-D6FC-4f65-9D91-7224C49458BB}"/>
            </c:extLst>
          </c:dLbls>
          <c:cat>
            <c:strRef>
              <c:f>'Pie Chart'!$M$5:$M$14</c:f>
              <c:strCache>
                <c:ptCount val="10"/>
                <c:pt idx="0">
                  <c:v>General Gov./Selectmen</c:v>
                </c:pt>
                <c:pt idx="1">
                  <c:v>Town Office/Elected Positions</c:v>
                </c:pt>
                <c:pt idx="2">
                  <c:v>Boards &amp; Committees</c:v>
                </c:pt>
                <c:pt idx="3">
                  <c:v>Public Works</c:v>
                </c:pt>
                <c:pt idx="4">
                  <c:v>Public Safety</c:v>
                </c:pt>
                <c:pt idx="5">
                  <c:v>Senior Center</c:v>
                </c:pt>
                <c:pt idx="6">
                  <c:v>Library</c:v>
                </c:pt>
                <c:pt idx="7">
                  <c:v>Schools</c:v>
                </c:pt>
                <c:pt idx="8">
                  <c:v>Employee Benefits/Retirement</c:v>
                </c:pt>
                <c:pt idx="9">
                  <c:v>Insurance, Bonds, Debt</c:v>
                </c:pt>
              </c:strCache>
            </c:strRef>
          </c:cat>
          <c:val>
            <c:numRef>
              <c:f>'Pie Chart'!$N$5:$N$14</c:f>
              <c:numCache>
                <c:formatCode>_("$"* #,##0_);_("$"* \(#,##0\);_("$"* "-"??_);_(@_)</c:formatCode>
                <c:ptCount val="10"/>
                <c:pt idx="0">
                  <c:v>197946.6974</c:v>
                </c:pt>
                <c:pt idx="1">
                  <c:v>162340.5618</c:v>
                </c:pt>
                <c:pt idx="2">
                  <c:v>125684.602</c:v>
                </c:pt>
                <c:pt idx="3">
                  <c:v>284009.01520000002</c:v>
                </c:pt>
                <c:pt idx="4">
                  <c:v>248847.61835</c:v>
                </c:pt>
                <c:pt idx="5">
                  <c:v>50094.804400000001</c:v>
                </c:pt>
                <c:pt idx="6">
                  <c:v>52008</c:v>
                </c:pt>
                <c:pt idx="7">
                  <c:v>2522932</c:v>
                </c:pt>
                <c:pt idx="8">
                  <c:v>707660.2</c:v>
                </c:pt>
                <c:pt idx="9">
                  <c:v>116147</c:v>
                </c:pt>
              </c:numCache>
            </c:numRef>
          </c:val>
          <c:extLst xmlns:c16r2="http://schemas.microsoft.com/office/drawing/2015/06/chart">
            <c:ext xmlns:c16="http://schemas.microsoft.com/office/drawing/2014/chart" uri="{C3380CC4-5D6E-409C-BE32-E72D297353CC}">
              <c16:uniqueId val="{00000006-3194-4C5B-BB58-BC74E9E49700}"/>
            </c:ext>
          </c:extLst>
        </c:ser>
        <c:dLbls>
          <c:showLegendKey val="0"/>
          <c:showVal val="0"/>
          <c:showCatName val="0"/>
          <c:showSerName val="0"/>
          <c:showPercent val="0"/>
          <c:showBubbleSize val="0"/>
          <c:showLeaderLines val="1"/>
        </c:dLbls>
        <c:firstSliceAng val="60"/>
      </c:pieChart>
    </c:plotArea>
    <c:plotVisOnly val="1"/>
    <c:dispBlanksAs val="zero"/>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104776</xdr:rowOff>
    </xdr:from>
    <xdr:to>
      <xdr:col>10</xdr:col>
      <xdr:colOff>590549</xdr:colOff>
      <xdr:row>28</xdr:row>
      <xdr:rowOff>161926</xdr:rowOff>
    </xdr:to>
    <xdr:graphicFrame macro="">
      <xdr:nvGraphicFramePr>
        <xdr:cNvPr id="5" name="Chart 4" descr="chart area description"/>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1"/>
  <sheetViews>
    <sheetView workbookViewId="0">
      <selection activeCell="A19" sqref="A19:H19"/>
    </sheetView>
  </sheetViews>
  <sheetFormatPr defaultRowHeight="15" x14ac:dyDescent="0.2"/>
  <sheetData>
    <row r="3" spans="1:8" ht="15" customHeight="1" x14ac:dyDescent="0.2">
      <c r="A3" s="593" t="s">
        <v>864</v>
      </c>
      <c r="B3" s="594"/>
      <c r="C3" s="594"/>
      <c r="D3" s="594"/>
      <c r="E3" s="594"/>
      <c r="F3" s="594"/>
      <c r="G3" s="594"/>
      <c r="H3" s="595"/>
    </row>
    <row r="4" spans="1:8" ht="15" customHeight="1" x14ac:dyDescent="0.2">
      <c r="A4" s="596"/>
      <c r="B4" s="597"/>
      <c r="C4" s="597"/>
      <c r="D4" s="597"/>
      <c r="E4" s="597"/>
      <c r="F4" s="597"/>
      <c r="G4" s="597"/>
      <c r="H4" s="598"/>
    </row>
    <row r="5" spans="1:8" ht="15" customHeight="1" x14ac:dyDescent="0.2">
      <c r="A5" s="596"/>
      <c r="B5" s="597"/>
      <c r="C5" s="597"/>
      <c r="D5" s="597"/>
      <c r="E5" s="597"/>
      <c r="F5" s="597"/>
      <c r="G5" s="597"/>
      <c r="H5" s="598"/>
    </row>
    <row r="6" spans="1:8" ht="15" customHeight="1" x14ac:dyDescent="0.2">
      <c r="A6" s="596"/>
      <c r="B6" s="597"/>
      <c r="C6" s="597"/>
      <c r="D6" s="597"/>
      <c r="E6" s="597"/>
      <c r="F6" s="597"/>
      <c r="G6" s="597"/>
      <c r="H6" s="598"/>
    </row>
    <row r="7" spans="1:8" x14ac:dyDescent="0.2">
      <c r="A7" s="596"/>
      <c r="B7" s="597"/>
      <c r="C7" s="597"/>
      <c r="D7" s="597"/>
      <c r="E7" s="597"/>
      <c r="F7" s="597"/>
      <c r="G7" s="597"/>
      <c r="H7" s="598"/>
    </row>
    <row r="8" spans="1:8" x14ac:dyDescent="0.2">
      <c r="A8" s="596"/>
      <c r="B8" s="597"/>
      <c r="C8" s="597"/>
      <c r="D8" s="597"/>
      <c r="E8" s="597"/>
      <c r="F8" s="597"/>
      <c r="G8" s="597"/>
      <c r="H8" s="598"/>
    </row>
    <row r="9" spans="1:8" x14ac:dyDescent="0.2">
      <c r="A9" s="599"/>
      <c r="B9" s="600"/>
      <c r="C9" s="600"/>
      <c r="D9" s="600"/>
      <c r="E9" s="600"/>
      <c r="F9" s="600"/>
      <c r="G9" s="600"/>
      <c r="H9" s="601"/>
    </row>
    <row r="10" spans="1:8" ht="23.25" x14ac:dyDescent="0.2">
      <c r="A10" s="568"/>
      <c r="B10" s="568"/>
      <c r="C10" s="568"/>
      <c r="D10" s="568"/>
      <c r="E10" s="568"/>
      <c r="F10" s="568"/>
      <c r="G10" s="568"/>
      <c r="H10" s="568"/>
    </row>
    <row r="11" spans="1:8" ht="23.25" x14ac:dyDescent="0.2">
      <c r="A11" s="568"/>
      <c r="B11" s="568"/>
      <c r="C11" s="568"/>
      <c r="D11" s="568"/>
      <c r="E11" s="568"/>
      <c r="F11" s="568"/>
      <c r="G11" s="568"/>
      <c r="H11" s="568"/>
    </row>
    <row r="12" spans="1:8" ht="23.25" x14ac:dyDescent="0.2">
      <c r="A12" s="568"/>
      <c r="B12" s="568"/>
      <c r="C12" s="568"/>
      <c r="D12" s="568"/>
      <c r="E12" s="568"/>
      <c r="F12" s="568"/>
      <c r="G12" s="568"/>
      <c r="H12" s="568"/>
    </row>
    <row r="13" spans="1:8" ht="23.25" x14ac:dyDescent="0.2">
      <c r="A13" s="568"/>
      <c r="B13" s="568"/>
      <c r="C13" s="568"/>
      <c r="D13" s="568"/>
      <c r="E13" s="568"/>
      <c r="F13" s="568"/>
      <c r="G13" s="568"/>
      <c r="H13" s="568"/>
    </row>
    <row r="14" spans="1:8" x14ac:dyDescent="0.2">
      <c r="E14" s="320"/>
    </row>
    <row r="15" spans="1:8" ht="20.25" x14ac:dyDescent="0.3">
      <c r="A15" s="590" t="s">
        <v>426</v>
      </c>
      <c r="B15" s="590"/>
      <c r="C15" s="590"/>
      <c r="D15" s="590"/>
      <c r="E15" s="591"/>
      <c r="F15" s="590"/>
      <c r="G15" s="590"/>
      <c r="H15" s="590"/>
    </row>
    <row r="16" spans="1:8" ht="15.75" x14ac:dyDescent="0.25">
      <c r="A16" s="588" t="s">
        <v>860</v>
      </c>
      <c r="B16" s="588"/>
      <c r="C16" s="588"/>
      <c r="D16" s="588"/>
      <c r="E16" s="589"/>
      <c r="F16" s="588"/>
      <c r="G16" s="588"/>
      <c r="H16" s="588"/>
    </row>
    <row r="17" spans="1:8" ht="15.75" x14ac:dyDescent="0.25">
      <c r="A17" s="374"/>
      <c r="B17" s="374"/>
      <c r="C17" s="374"/>
      <c r="D17" s="374"/>
      <c r="E17" s="375"/>
      <c r="F17" s="374"/>
      <c r="G17" s="374"/>
      <c r="H17" s="374"/>
    </row>
    <row r="18" spans="1:8" x14ac:dyDescent="0.2">
      <c r="A18" s="592" t="s">
        <v>861</v>
      </c>
      <c r="B18" s="592"/>
      <c r="C18" s="592"/>
      <c r="D18" s="592"/>
      <c r="E18" s="592"/>
      <c r="F18" s="592"/>
      <c r="G18" s="592"/>
      <c r="H18" s="592"/>
    </row>
    <row r="19" spans="1:8" ht="15.75" x14ac:dyDescent="0.25">
      <c r="A19" s="588" t="s">
        <v>865</v>
      </c>
      <c r="B19" s="588"/>
      <c r="C19" s="588"/>
      <c r="D19" s="588"/>
      <c r="E19" s="589"/>
      <c r="F19" s="588"/>
      <c r="G19" s="588"/>
      <c r="H19" s="588"/>
    </row>
    <row r="20" spans="1:8" ht="15.75" x14ac:dyDescent="0.25">
      <c r="A20" s="559"/>
      <c r="B20" s="559"/>
      <c r="C20" s="559"/>
      <c r="D20" s="559"/>
      <c r="E20" s="560"/>
      <c r="F20" s="559"/>
      <c r="G20" s="559"/>
      <c r="H20" s="559"/>
    </row>
    <row r="21" spans="1:8" ht="15.75" x14ac:dyDescent="0.25">
      <c r="A21" s="566"/>
      <c r="B21" s="566"/>
      <c r="C21" s="566"/>
      <c r="D21" s="566"/>
      <c r="E21" s="567"/>
      <c r="F21" s="566"/>
      <c r="G21" s="566"/>
      <c r="H21" s="566"/>
    </row>
    <row r="29" spans="1:8" x14ac:dyDescent="0.2">
      <c r="A29" s="565"/>
      <c r="B29" s="565"/>
      <c r="C29" s="565"/>
      <c r="D29" s="565"/>
      <c r="E29" s="565"/>
      <c r="F29" s="565"/>
      <c r="G29" s="565"/>
      <c r="H29" s="565"/>
    </row>
    <row r="41" spans="8:8" x14ac:dyDescent="0.2">
      <c r="H41" s="569"/>
    </row>
  </sheetData>
  <mergeCells count="5">
    <mergeCell ref="A19:H19"/>
    <mergeCell ref="A16:H16"/>
    <mergeCell ref="A15:H15"/>
    <mergeCell ref="A18:H18"/>
    <mergeCell ref="A3:H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3"/>
  <sheetViews>
    <sheetView topLeftCell="A19" workbookViewId="0">
      <selection activeCell="H11" sqref="H11"/>
    </sheetView>
  </sheetViews>
  <sheetFormatPr defaultRowHeight="15" x14ac:dyDescent="0.25"/>
  <cols>
    <col min="1" max="1" width="17.88671875" style="150" customWidth="1"/>
    <col min="2" max="2" width="10.77734375" style="150" customWidth="1"/>
    <col min="3" max="3" width="10.109375" style="150" customWidth="1"/>
    <col min="4" max="4" width="18.5546875" style="150" bestFit="1" customWidth="1"/>
    <col min="5" max="5" width="12.21875" style="150" customWidth="1"/>
    <col min="6" max="6" width="12.77734375" style="150" customWidth="1"/>
    <col min="7" max="7" width="11" style="150" customWidth="1"/>
    <col min="8" max="8" width="11" style="150" bestFit="1" customWidth="1"/>
    <col min="9" max="9" width="11" style="150" customWidth="1"/>
    <col min="10" max="10" width="9.77734375" style="150" bestFit="1" customWidth="1"/>
    <col min="11" max="16384" width="8.88671875" style="150"/>
  </cols>
  <sheetData>
    <row r="1" spans="1:12" ht="15.75" customHeight="1" x14ac:dyDescent="0.25">
      <c r="A1" s="149" t="s">
        <v>321</v>
      </c>
      <c r="C1"/>
      <c r="D1"/>
      <c r="E1" s="256"/>
      <c r="F1" s="151"/>
      <c r="G1" s="151"/>
    </row>
    <row r="2" spans="1:12" ht="15.75" x14ac:dyDescent="0.25">
      <c r="A2" s="149" t="s">
        <v>451</v>
      </c>
      <c r="C2"/>
      <c r="D2"/>
      <c r="E2" s="257"/>
      <c r="F2" s="151"/>
    </row>
    <row r="3" spans="1:12" ht="16.5" customHeight="1" x14ac:dyDescent="0.25">
      <c r="G3" s="275"/>
      <c r="H3" s="275"/>
      <c r="I3" s="275"/>
      <c r="J3" s="275"/>
      <c r="K3" s="275"/>
      <c r="L3" s="324"/>
    </row>
    <row r="4" spans="1:12" x14ac:dyDescent="0.25">
      <c r="B4" s="322" t="s">
        <v>322</v>
      </c>
      <c r="C4" s="152"/>
      <c r="E4" s="322" t="s">
        <v>323</v>
      </c>
      <c r="G4" s="276" t="s">
        <v>425</v>
      </c>
      <c r="H4" s="275"/>
      <c r="I4" s="275"/>
      <c r="J4" s="275"/>
      <c r="K4" s="275"/>
      <c r="L4" s="324"/>
    </row>
    <row r="5" spans="1:12" ht="15.75" thickBot="1" x14ac:dyDescent="0.3">
      <c r="A5" s="196" t="s">
        <v>452</v>
      </c>
      <c r="B5" s="174">
        <v>2700549</v>
      </c>
      <c r="C5" s="153"/>
      <c r="D5" s="153" t="s">
        <v>325</v>
      </c>
      <c r="G5" s="275"/>
      <c r="H5" s="275"/>
      <c r="I5" s="275"/>
      <c r="J5" s="277"/>
      <c r="K5" s="275"/>
      <c r="L5" s="324"/>
    </row>
    <row r="6" spans="1:12" x14ac:dyDescent="0.25">
      <c r="A6" s="154">
        <v>2.5000000000000001E-2</v>
      </c>
      <c r="B6" s="252">
        <v>67513.72</v>
      </c>
      <c r="C6" s="155"/>
      <c r="D6" s="156" t="s">
        <v>326</v>
      </c>
      <c r="E6" s="174">
        <v>473</v>
      </c>
      <c r="F6" s="153"/>
      <c r="G6" s="633" t="s">
        <v>416</v>
      </c>
      <c r="H6" s="634"/>
      <c r="I6" s="635"/>
      <c r="J6" s="277"/>
      <c r="K6" s="275"/>
      <c r="L6" s="324"/>
    </row>
    <row r="7" spans="1:12" x14ac:dyDescent="0.25">
      <c r="A7" s="157" t="s">
        <v>75</v>
      </c>
      <c r="B7" s="258">
        <v>12000</v>
      </c>
      <c r="C7" s="159"/>
      <c r="D7" s="156" t="s">
        <v>327</v>
      </c>
      <c r="E7" s="174">
        <v>3580</v>
      </c>
      <c r="F7" s="153"/>
      <c r="G7" s="636" t="s">
        <v>415</v>
      </c>
      <c r="H7" s="637"/>
      <c r="I7" s="638"/>
      <c r="J7" s="275"/>
      <c r="K7" s="275"/>
      <c r="L7" s="324"/>
    </row>
    <row r="8" spans="1:12" x14ac:dyDescent="0.25">
      <c r="B8" s="253">
        <v>2780062.72</v>
      </c>
      <c r="C8" s="153"/>
      <c r="D8" s="156" t="s">
        <v>328</v>
      </c>
      <c r="E8" s="174">
        <v>1383</v>
      </c>
      <c r="F8" s="153"/>
      <c r="G8" s="278" t="s">
        <v>402</v>
      </c>
      <c r="H8" s="279"/>
      <c r="I8" s="280"/>
      <c r="J8" s="275"/>
      <c r="K8" s="307"/>
      <c r="L8" s="324"/>
    </row>
    <row r="9" spans="1:12" x14ac:dyDescent="0.25">
      <c r="A9" s="157" t="s">
        <v>76</v>
      </c>
      <c r="B9" s="254">
        <v>23090</v>
      </c>
      <c r="C9" s="159"/>
      <c r="D9" s="156" t="s">
        <v>329</v>
      </c>
      <c r="E9" s="174">
        <v>13543</v>
      </c>
      <c r="F9" s="153"/>
      <c r="G9" s="281"/>
      <c r="H9" s="323" t="s">
        <v>520</v>
      </c>
      <c r="I9" s="332">
        <f>D41</f>
        <v>31000</v>
      </c>
      <c r="J9" s="275"/>
      <c r="K9" s="308"/>
      <c r="L9" s="324"/>
    </row>
    <row r="10" spans="1:12" ht="15.75" customHeight="1" x14ac:dyDescent="0.25">
      <c r="A10" s="251" t="s">
        <v>458</v>
      </c>
      <c r="B10" s="253">
        <v>2803152.72</v>
      </c>
      <c r="C10" s="153"/>
      <c r="D10" s="156" t="s">
        <v>331</v>
      </c>
      <c r="E10" s="258">
        <v>132902</v>
      </c>
      <c r="F10" s="153"/>
      <c r="G10" s="281"/>
      <c r="H10" s="336" t="s">
        <v>588</v>
      </c>
      <c r="I10" s="330">
        <v>20000</v>
      </c>
      <c r="J10" s="275"/>
      <c r="K10" s="308"/>
      <c r="L10" s="324"/>
    </row>
    <row r="11" spans="1:12" x14ac:dyDescent="0.25">
      <c r="B11" s="153"/>
      <c r="C11" s="153"/>
      <c r="D11" s="166" t="s">
        <v>350</v>
      </c>
      <c r="E11" s="174">
        <v>151881</v>
      </c>
      <c r="F11" s="153"/>
      <c r="G11" s="282" t="s">
        <v>409</v>
      </c>
      <c r="H11" s="283"/>
      <c r="I11" s="333">
        <f>SUM(I9:I10)</f>
        <v>51000</v>
      </c>
      <c r="J11" s="275"/>
      <c r="K11" s="308"/>
      <c r="L11" s="324"/>
    </row>
    <row r="12" spans="1:12" x14ac:dyDescent="0.25">
      <c r="A12" s="150" t="s">
        <v>77</v>
      </c>
      <c r="B12" s="174">
        <v>217894.85</v>
      </c>
      <c r="C12" s="153"/>
      <c r="D12" s="153"/>
      <c r="E12" s="174"/>
      <c r="F12" s="153"/>
      <c r="G12" s="278"/>
      <c r="H12" s="283"/>
      <c r="I12" s="334"/>
      <c r="J12" s="275"/>
      <c r="K12" s="308"/>
      <c r="L12" s="324"/>
    </row>
    <row r="13" spans="1:12" ht="15.75" customHeight="1" x14ac:dyDescent="0.25">
      <c r="B13" s="153"/>
      <c r="C13" s="153"/>
      <c r="D13" s="269" t="s">
        <v>477</v>
      </c>
      <c r="E13" s="174">
        <v>28000</v>
      </c>
      <c r="F13" s="171"/>
      <c r="G13" s="278" t="s">
        <v>408</v>
      </c>
      <c r="H13" s="279"/>
      <c r="I13" s="334"/>
      <c r="J13" s="275"/>
      <c r="K13" s="308"/>
      <c r="L13" s="324"/>
    </row>
    <row r="14" spans="1:12" x14ac:dyDescent="0.25">
      <c r="A14" s="150" t="s">
        <v>333</v>
      </c>
      <c r="B14" s="153"/>
      <c r="C14" s="153"/>
      <c r="D14" s="311" t="s">
        <v>348</v>
      </c>
      <c r="E14" s="174">
        <v>0</v>
      </c>
      <c r="F14" s="153"/>
      <c r="G14" s="281"/>
      <c r="H14" s="314" t="s">
        <v>510</v>
      </c>
      <c r="I14" s="334">
        <v>25000</v>
      </c>
      <c r="J14" s="275"/>
      <c r="K14" s="308"/>
      <c r="L14" s="324"/>
    </row>
    <row r="15" spans="1:12" x14ac:dyDescent="0.25">
      <c r="A15" s="157" t="s">
        <v>334</v>
      </c>
      <c r="B15" s="174">
        <v>730684</v>
      </c>
      <c r="C15" s="153"/>
      <c r="F15" s="153"/>
      <c r="G15" s="281"/>
      <c r="H15" s="314" t="s">
        <v>509</v>
      </c>
      <c r="I15" s="335">
        <f>D39</f>
        <v>40000</v>
      </c>
      <c r="J15" s="275"/>
      <c r="K15" s="308"/>
      <c r="L15" s="324"/>
    </row>
    <row r="16" spans="1:12" x14ac:dyDescent="0.25">
      <c r="A16" s="157" t="s">
        <v>336</v>
      </c>
      <c r="B16" s="174">
        <v>199783</v>
      </c>
      <c r="C16" s="153"/>
      <c r="D16" s="153" t="s">
        <v>335</v>
      </c>
      <c r="E16" s="153"/>
      <c r="F16" s="153"/>
      <c r="G16" s="282" t="s">
        <v>410</v>
      </c>
      <c r="H16" s="283"/>
      <c r="I16" s="284">
        <f>SUM(I14:I15)</f>
        <v>65000</v>
      </c>
      <c r="J16" s="275"/>
      <c r="K16" s="308"/>
      <c r="L16" s="324"/>
    </row>
    <row r="17" spans="1:12" ht="15.75" thickBot="1" x14ac:dyDescent="0.3">
      <c r="A17" s="157" t="s">
        <v>337</v>
      </c>
      <c r="B17" s="174">
        <v>6733</v>
      </c>
      <c r="C17" s="153"/>
      <c r="D17" s="165" t="s">
        <v>351</v>
      </c>
      <c r="E17" s="174">
        <v>2000</v>
      </c>
      <c r="F17" s="153"/>
      <c r="G17" s="285"/>
      <c r="H17" s="286"/>
      <c r="I17" s="287"/>
      <c r="J17" s="275"/>
      <c r="K17" s="275"/>
      <c r="L17" s="324"/>
    </row>
    <row r="18" spans="1:12" x14ac:dyDescent="0.25">
      <c r="A18" s="255" t="s">
        <v>460</v>
      </c>
      <c r="B18" s="260">
        <v>0</v>
      </c>
      <c r="C18" s="153"/>
      <c r="D18" s="165" t="s">
        <v>352</v>
      </c>
      <c r="E18" s="259">
        <v>4000</v>
      </c>
      <c r="F18" s="153"/>
      <c r="G18" s="288"/>
      <c r="H18" s="275"/>
      <c r="I18" s="275"/>
      <c r="J18" s="275"/>
      <c r="K18" s="275"/>
      <c r="L18" s="324"/>
    </row>
    <row r="19" spans="1:12" x14ac:dyDescent="0.25">
      <c r="A19" s="157" t="s">
        <v>338</v>
      </c>
      <c r="B19" s="174">
        <v>8562</v>
      </c>
      <c r="C19" s="159"/>
      <c r="D19" s="261" t="s">
        <v>402</v>
      </c>
      <c r="E19" s="258">
        <v>20000</v>
      </c>
      <c r="F19" s="153"/>
      <c r="G19" s="288"/>
      <c r="H19" s="275"/>
      <c r="I19" s="275"/>
      <c r="J19" s="275"/>
      <c r="K19" s="275"/>
      <c r="L19" s="324"/>
    </row>
    <row r="20" spans="1:12" ht="15.75" thickBot="1" x14ac:dyDescent="0.3">
      <c r="A20" s="157" t="s">
        <v>339</v>
      </c>
      <c r="B20" s="258">
        <v>26067</v>
      </c>
      <c r="C20" s="153"/>
      <c r="E20" s="174">
        <v>26000</v>
      </c>
      <c r="F20" s="153"/>
      <c r="G20" s="279"/>
      <c r="H20" s="279"/>
      <c r="I20" s="279"/>
      <c r="J20" s="275"/>
      <c r="K20" s="275"/>
      <c r="L20" s="324"/>
    </row>
    <row r="21" spans="1:12" ht="15.75" x14ac:dyDescent="0.25">
      <c r="A21" s="157" t="s">
        <v>340</v>
      </c>
      <c r="B21" s="174">
        <v>971829</v>
      </c>
      <c r="C21" s="153"/>
      <c r="E21"/>
      <c r="F21" s="153"/>
      <c r="G21" s="289" t="s">
        <v>462</v>
      </c>
      <c r="H21" s="290"/>
      <c r="I21" s="291"/>
      <c r="J21" s="279"/>
      <c r="K21" s="279"/>
      <c r="L21" s="324"/>
    </row>
    <row r="22" spans="1:12" x14ac:dyDescent="0.25">
      <c r="A22" s="157"/>
      <c r="B22" s="174"/>
      <c r="C22" s="153"/>
      <c r="E22" s="167"/>
      <c r="F22" s="153"/>
      <c r="G22" s="321"/>
      <c r="H22" s="292"/>
      <c r="I22" s="294" t="s">
        <v>514</v>
      </c>
      <c r="J22" s="279"/>
      <c r="K22" s="279"/>
      <c r="L22" s="324"/>
    </row>
    <row r="23" spans="1:12" x14ac:dyDescent="0.25">
      <c r="B23" s="153"/>
      <c r="C23" s="153"/>
      <c r="D23" s="171" t="s">
        <v>349</v>
      </c>
      <c r="E23" s="259">
        <v>205881</v>
      </c>
      <c r="F23" s="153"/>
      <c r="G23" s="281"/>
      <c r="H23" s="293" t="s">
        <v>465</v>
      </c>
      <c r="I23" s="294" t="s">
        <v>515</v>
      </c>
      <c r="J23" s="292"/>
      <c r="K23" s="279"/>
      <c r="L23" s="324"/>
    </row>
    <row r="24" spans="1:12" ht="15.75" thickBot="1" x14ac:dyDescent="0.3">
      <c r="A24" s="160" t="s">
        <v>341</v>
      </c>
      <c r="B24" s="153"/>
      <c r="C24" s="170"/>
      <c r="D24" s="153"/>
      <c r="E24" s="175"/>
      <c r="F24" s="153"/>
      <c r="G24" s="296" t="s">
        <v>463</v>
      </c>
      <c r="H24" s="297">
        <v>109513.09</v>
      </c>
      <c r="I24" s="298">
        <f>H24/I27</f>
        <v>2.8631687240781026E-2</v>
      </c>
      <c r="J24" s="295"/>
      <c r="K24" s="279"/>
      <c r="L24" s="324"/>
    </row>
    <row r="25" spans="1:12" ht="16.5" thickTop="1" thickBot="1" x14ac:dyDescent="0.3">
      <c r="A25" s="157" t="s">
        <v>342</v>
      </c>
      <c r="B25" s="174">
        <v>30000</v>
      </c>
      <c r="C25" s="153"/>
      <c r="D25" s="153" t="s">
        <v>346</v>
      </c>
      <c r="E25" s="263">
        <v>3832995.57</v>
      </c>
      <c r="F25" s="153"/>
      <c r="G25" s="300" t="s">
        <v>464</v>
      </c>
      <c r="H25" s="301">
        <v>39532.51</v>
      </c>
      <c r="I25" s="302">
        <f>H25/I27</f>
        <v>1.033559058705264E-2</v>
      </c>
      <c r="J25" s="299"/>
      <c r="K25" s="279"/>
      <c r="L25" s="324"/>
    </row>
    <row r="26" spans="1:12" x14ac:dyDescent="0.25">
      <c r="A26" s="157" t="s">
        <v>343</v>
      </c>
      <c r="B26" s="258">
        <v>16000</v>
      </c>
      <c r="C26" s="159"/>
      <c r="D26" s="153"/>
      <c r="E26" s="153"/>
      <c r="F26" s="153"/>
      <c r="G26" s="279"/>
      <c r="H26" s="279"/>
      <c r="I26" s="279"/>
      <c r="J26" s="299"/>
      <c r="K26" s="279"/>
      <c r="L26" s="324"/>
    </row>
    <row r="27" spans="1:12" x14ac:dyDescent="0.25">
      <c r="A27" s="157" t="s">
        <v>344</v>
      </c>
      <c r="B27" s="174">
        <v>46000</v>
      </c>
      <c r="C27" s="153"/>
      <c r="D27" s="253" t="str">
        <f>IF('FY19 Budget Details'!S3=1,"Total Budget (Requested)","Total Budget (Proposed)")</f>
        <v>Total Budget (Proposed)</v>
      </c>
      <c r="E27" s="169">
        <v>3832995.57</v>
      </c>
      <c r="F27" s="153"/>
      <c r="G27" s="275"/>
      <c r="H27" s="303" t="s">
        <v>353</v>
      </c>
      <c r="I27" s="304">
        <v>3824891.25</v>
      </c>
      <c r="J27" s="279"/>
      <c r="K27" s="275"/>
      <c r="L27" s="324"/>
    </row>
    <row r="28" spans="1:12" x14ac:dyDescent="0.25">
      <c r="B28" s="153"/>
      <c r="C28" s="153"/>
      <c r="D28" s="158"/>
      <c r="E28" s="167"/>
      <c r="F28" s="168"/>
      <c r="G28" s="275"/>
      <c r="H28" s="303"/>
      <c r="I28" s="305"/>
      <c r="J28" s="275"/>
      <c r="K28" s="275"/>
      <c r="L28" s="324"/>
    </row>
    <row r="29" spans="1:12" ht="15.75" thickBot="1" x14ac:dyDescent="0.3">
      <c r="A29" s="160" t="s">
        <v>345</v>
      </c>
      <c r="B29" s="268">
        <v>4038876.5700000003</v>
      </c>
      <c r="C29" s="153"/>
      <c r="D29" s="262" t="s">
        <v>461</v>
      </c>
      <c r="E29" s="174">
        <v>0</v>
      </c>
      <c r="F29" s="153"/>
      <c r="G29" s="275"/>
      <c r="H29" s="275"/>
      <c r="I29" s="275"/>
      <c r="J29" s="275"/>
      <c r="K29" s="275"/>
      <c r="L29" s="324"/>
    </row>
    <row r="30" spans="1:12" x14ac:dyDescent="0.25">
      <c r="B30" s="153"/>
      <c r="C30" s="153"/>
      <c r="F30" s="153"/>
      <c r="G30" s="289" t="s">
        <v>487</v>
      </c>
      <c r="H30" s="290"/>
      <c r="I30" s="291"/>
      <c r="J30" s="275"/>
      <c r="K30" s="275"/>
      <c r="L30" s="324"/>
    </row>
    <row r="31" spans="1:12" ht="30" x14ac:dyDescent="0.25">
      <c r="B31" s="153"/>
      <c r="C31" s="153"/>
      <c r="E31" s="153"/>
      <c r="F31" s="153"/>
      <c r="G31" s="281"/>
      <c r="H31" s="293" t="s">
        <v>465</v>
      </c>
      <c r="I31" s="294" t="s">
        <v>488</v>
      </c>
      <c r="J31" s="275"/>
      <c r="K31" s="309"/>
      <c r="L31" s="325"/>
    </row>
    <row r="32" spans="1:12" ht="15.75" customHeight="1" x14ac:dyDescent="0.25">
      <c r="B32" s="153"/>
      <c r="C32" s="153"/>
      <c r="F32" s="153"/>
      <c r="G32" s="296" t="s">
        <v>463</v>
      </c>
      <c r="H32" s="297">
        <v>160513.09</v>
      </c>
      <c r="I32" s="298">
        <v>4.187666984441623E-2</v>
      </c>
      <c r="J32" s="275"/>
      <c r="K32" s="310"/>
      <c r="L32" s="324"/>
    </row>
    <row r="33" spans="2:12" ht="15.75" thickBot="1" x14ac:dyDescent="0.3">
      <c r="B33" s="153"/>
      <c r="C33" s="153"/>
      <c r="G33" s="300" t="s">
        <v>464</v>
      </c>
      <c r="H33" s="301">
        <v>65532.51</v>
      </c>
      <c r="I33" s="302">
        <v>1.7096943840193377E-2</v>
      </c>
      <c r="J33" s="275"/>
      <c r="K33" s="310"/>
      <c r="L33" s="324"/>
    </row>
    <row r="34" spans="2:12" ht="15.75" thickBot="1" x14ac:dyDescent="0.3">
      <c r="B34" s="153"/>
      <c r="C34" s="153"/>
      <c r="G34" s="279"/>
      <c r="H34" s="279"/>
      <c r="I34" s="279"/>
      <c r="J34" s="275"/>
      <c r="K34" s="275"/>
      <c r="L34" s="324"/>
    </row>
    <row r="35" spans="2:12" x14ac:dyDescent="0.25">
      <c r="B35" s="641" t="s">
        <v>364</v>
      </c>
      <c r="C35" s="642"/>
      <c r="D35" s="643"/>
      <c r="G35" s="275"/>
      <c r="H35" s="306" t="s">
        <v>457</v>
      </c>
      <c r="I35" s="304">
        <v>3832995.57</v>
      </c>
      <c r="J35" s="275"/>
      <c r="K35" s="275"/>
      <c r="L35" s="324"/>
    </row>
    <row r="36" spans="2:12" x14ac:dyDescent="0.25">
      <c r="B36" s="644" t="s">
        <v>455</v>
      </c>
      <c r="C36" s="645"/>
      <c r="D36" s="646"/>
      <c r="F36" s="196"/>
      <c r="G36" s="275"/>
      <c r="H36" s="275"/>
      <c r="I36" s="275"/>
      <c r="J36" s="275"/>
      <c r="K36" s="275"/>
      <c r="L36" s="324"/>
    </row>
    <row r="37" spans="2:12" x14ac:dyDescent="0.25">
      <c r="B37" s="195"/>
      <c r="C37" s="250" t="s">
        <v>457</v>
      </c>
      <c r="D37" s="271">
        <v>30000</v>
      </c>
    </row>
    <row r="38" spans="2:12" x14ac:dyDescent="0.25">
      <c r="B38" s="264"/>
      <c r="C38" s="267" t="s">
        <v>475</v>
      </c>
      <c r="D38" s="271">
        <v>31000</v>
      </c>
    </row>
    <row r="39" spans="2:12" x14ac:dyDescent="0.25">
      <c r="B39" s="647" t="s">
        <v>507</v>
      </c>
      <c r="C39" s="648"/>
      <c r="D39" s="271">
        <v>40000</v>
      </c>
    </row>
    <row r="40" spans="2:12" x14ac:dyDescent="0.25">
      <c r="B40" s="274"/>
      <c r="C40" s="312" t="s">
        <v>506</v>
      </c>
      <c r="D40" s="271">
        <v>157.72</v>
      </c>
    </row>
    <row r="41" spans="2:12" x14ac:dyDescent="0.25">
      <c r="B41" s="270"/>
      <c r="C41" s="313" t="s">
        <v>508</v>
      </c>
      <c r="D41" s="271">
        <v>31000</v>
      </c>
    </row>
    <row r="42" spans="2:12" x14ac:dyDescent="0.25">
      <c r="B42" s="272"/>
      <c r="C42" s="273"/>
      <c r="D42" s="197"/>
    </row>
    <row r="43" spans="2:12" ht="15.75" thickBot="1" x14ac:dyDescent="0.3">
      <c r="B43" s="639" t="s">
        <v>103</v>
      </c>
      <c r="C43" s="640"/>
      <c r="D43" s="173">
        <f>SUM(D37:D42)</f>
        <v>132157.72</v>
      </c>
    </row>
  </sheetData>
  <mergeCells count="6">
    <mergeCell ref="G6:I6"/>
    <mergeCell ref="G7:I7"/>
    <mergeCell ref="B43:C43"/>
    <mergeCell ref="B35:D35"/>
    <mergeCell ref="B36:D36"/>
    <mergeCell ref="B39:C39"/>
  </mergeCells>
  <conditionalFormatting sqref="D43">
    <cfRule type="cellIs" dxfId="2" priority="6" operator="greaterThan">
      <formula>135000</formula>
    </cfRule>
  </conditionalFormatting>
  <conditionalFormatting sqref="E29">
    <cfRule type="cellIs" dxfId="1" priority="1" operator="lessThan">
      <formula>0</formula>
    </cfRule>
  </conditionalFormatting>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topLeftCell="A25" zoomScaleNormal="100" workbookViewId="0">
      <selection activeCell="A44" sqref="A44"/>
    </sheetView>
  </sheetViews>
  <sheetFormatPr defaultRowHeight="14.25" x14ac:dyDescent="0.2"/>
  <cols>
    <col min="1" max="1" width="10.5546875" style="177" customWidth="1"/>
    <col min="2" max="2" width="63.6640625" style="179" customWidth="1"/>
    <col min="3" max="16384" width="8.88671875" style="4"/>
  </cols>
  <sheetData>
    <row r="1" spans="1:2" x14ac:dyDescent="0.2">
      <c r="A1" s="176" t="s">
        <v>370</v>
      </c>
      <c r="B1" s="178" t="s">
        <v>371</v>
      </c>
    </row>
    <row r="2" spans="1:2" ht="25.5" x14ac:dyDescent="0.2">
      <c r="A2" s="177">
        <v>40996</v>
      </c>
      <c r="B2" s="179" t="s">
        <v>372</v>
      </c>
    </row>
    <row r="3" spans="1:2" x14ac:dyDescent="0.2">
      <c r="B3" s="179" t="s">
        <v>373</v>
      </c>
    </row>
    <row r="4" spans="1:2" ht="25.5" x14ac:dyDescent="0.2">
      <c r="B4" s="180" t="s">
        <v>380</v>
      </c>
    </row>
    <row r="5" spans="1:2" x14ac:dyDescent="0.2">
      <c r="B5" s="179" t="s">
        <v>374</v>
      </c>
    </row>
    <row r="6" spans="1:2" ht="25.5" x14ac:dyDescent="0.2">
      <c r="B6" s="179" t="s">
        <v>379</v>
      </c>
    </row>
    <row r="7" spans="1:2" ht="25.5" x14ac:dyDescent="0.2">
      <c r="B7" s="179" t="s">
        <v>375</v>
      </c>
    </row>
    <row r="8" spans="1:2" x14ac:dyDescent="0.2">
      <c r="B8" s="179" t="s">
        <v>378</v>
      </c>
    </row>
    <row r="9" spans="1:2" x14ac:dyDescent="0.2">
      <c r="B9" s="179" t="s">
        <v>381</v>
      </c>
    </row>
    <row r="10" spans="1:2" x14ac:dyDescent="0.2">
      <c r="B10" s="179" t="s">
        <v>382</v>
      </c>
    </row>
    <row r="11" spans="1:2" x14ac:dyDescent="0.2">
      <c r="B11" s="179" t="s">
        <v>383</v>
      </c>
    </row>
    <row r="12" spans="1:2" x14ac:dyDescent="0.2">
      <c r="A12" s="177">
        <v>40997</v>
      </c>
      <c r="B12" s="179" t="s">
        <v>385</v>
      </c>
    </row>
    <row r="13" spans="1:2" x14ac:dyDescent="0.2">
      <c r="B13" s="179" t="s">
        <v>389</v>
      </c>
    </row>
    <row r="14" spans="1:2" ht="20.25" customHeight="1" x14ac:dyDescent="0.2">
      <c r="B14" s="179" t="s">
        <v>393</v>
      </c>
    </row>
    <row r="15" spans="1:2" x14ac:dyDescent="0.2">
      <c r="B15" s="179" t="s">
        <v>390</v>
      </c>
    </row>
    <row r="16" spans="1:2" x14ac:dyDescent="0.2">
      <c r="B16" s="179" t="s">
        <v>391</v>
      </c>
    </row>
    <row r="17" spans="1:2" x14ac:dyDescent="0.2">
      <c r="B17" s="179" t="s">
        <v>392</v>
      </c>
    </row>
    <row r="18" spans="1:2" ht="25.5" x14ac:dyDescent="0.2">
      <c r="B18" s="179" t="s">
        <v>394</v>
      </c>
    </row>
    <row r="19" spans="1:2" ht="25.5" x14ac:dyDescent="0.2">
      <c r="B19" s="179" t="s">
        <v>395</v>
      </c>
    </row>
    <row r="20" spans="1:2" x14ac:dyDescent="0.2">
      <c r="A20" s="177">
        <v>41001</v>
      </c>
      <c r="B20" s="179" t="s">
        <v>396</v>
      </c>
    </row>
    <row r="21" spans="1:2" ht="25.5" x14ac:dyDescent="0.2">
      <c r="B21" s="179" t="s">
        <v>397</v>
      </c>
    </row>
    <row r="22" spans="1:2" x14ac:dyDescent="0.2">
      <c r="A22" s="177">
        <v>41002</v>
      </c>
      <c r="B22" s="179" t="s">
        <v>398</v>
      </c>
    </row>
    <row r="23" spans="1:2" x14ac:dyDescent="0.2">
      <c r="A23" s="177">
        <v>41004</v>
      </c>
      <c r="B23" s="179" t="s">
        <v>400</v>
      </c>
    </row>
    <row r="24" spans="1:2" x14ac:dyDescent="0.2">
      <c r="A24" s="177">
        <v>41010</v>
      </c>
      <c r="B24" s="179" t="s">
        <v>417</v>
      </c>
    </row>
    <row r="25" spans="1:2" x14ac:dyDescent="0.2">
      <c r="B25" s="179" t="s">
        <v>418</v>
      </c>
    </row>
    <row r="26" spans="1:2" x14ac:dyDescent="0.2">
      <c r="B26" s="179" t="s">
        <v>403</v>
      </c>
    </row>
    <row r="27" spans="1:2" x14ac:dyDescent="0.2">
      <c r="B27" s="179" t="s">
        <v>419</v>
      </c>
    </row>
    <row r="28" spans="1:2" ht="25.5" x14ac:dyDescent="0.2">
      <c r="B28" s="179" t="s">
        <v>420</v>
      </c>
    </row>
    <row r="29" spans="1:2" x14ac:dyDescent="0.2">
      <c r="A29" s="177">
        <v>41011</v>
      </c>
      <c r="B29" s="179" t="s">
        <v>424</v>
      </c>
    </row>
    <row r="30" spans="1:2" ht="25.5" x14ac:dyDescent="0.2">
      <c r="B30" s="179" t="s">
        <v>423</v>
      </c>
    </row>
    <row r="31" spans="1:2" x14ac:dyDescent="0.2">
      <c r="B31" s="179" t="s">
        <v>428</v>
      </c>
    </row>
    <row r="32" spans="1:2" x14ac:dyDescent="0.2">
      <c r="B32" s="179" t="s">
        <v>429</v>
      </c>
    </row>
    <row r="33" spans="1:2" x14ac:dyDescent="0.2">
      <c r="A33" s="177">
        <v>41034</v>
      </c>
      <c r="B33" s="179" t="s">
        <v>427</v>
      </c>
    </row>
    <row r="34" spans="1:2" ht="25.5" x14ac:dyDescent="0.2">
      <c r="A34" s="177">
        <v>41044</v>
      </c>
      <c r="B34" s="179" t="s">
        <v>439</v>
      </c>
    </row>
    <row r="35" spans="1:2" ht="25.5" x14ac:dyDescent="0.2">
      <c r="B35" s="179" t="s">
        <v>430</v>
      </c>
    </row>
    <row r="36" spans="1:2" x14ac:dyDescent="0.2">
      <c r="B36" s="179" t="s">
        <v>431</v>
      </c>
    </row>
    <row r="37" spans="1:2" x14ac:dyDescent="0.2">
      <c r="B37" s="179" t="s">
        <v>432</v>
      </c>
    </row>
    <row r="38" spans="1:2" x14ac:dyDescent="0.2">
      <c r="B38" s="178" t="s">
        <v>433</v>
      </c>
    </row>
    <row r="39" spans="1:2" x14ac:dyDescent="0.2">
      <c r="B39" s="179" t="s">
        <v>434</v>
      </c>
    </row>
    <row r="40" spans="1:2" x14ac:dyDescent="0.2">
      <c r="B40" s="179" t="s">
        <v>435</v>
      </c>
    </row>
    <row r="41" spans="1:2" x14ac:dyDescent="0.2">
      <c r="B41" s="179" t="s">
        <v>436</v>
      </c>
    </row>
    <row r="42" spans="1:2" x14ac:dyDescent="0.2">
      <c r="B42" s="179" t="s">
        <v>437</v>
      </c>
    </row>
    <row r="43" spans="1:2" ht="51" x14ac:dyDescent="0.2">
      <c r="A43" s="177">
        <v>41102</v>
      </c>
      <c r="B43" s="179" t="s">
        <v>438</v>
      </c>
    </row>
    <row r="44" spans="1:2" ht="38.25" x14ac:dyDescent="0.2">
      <c r="B44" s="179" t="s">
        <v>447</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zoomScaleNormal="100" workbookViewId="0">
      <pane ySplit="1" topLeftCell="A29" activePane="bottomLeft" state="frozen"/>
      <selection pane="bottomLeft" activeCell="B40" sqref="B40"/>
    </sheetView>
  </sheetViews>
  <sheetFormatPr defaultRowHeight="14.25" x14ac:dyDescent="0.2"/>
  <cols>
    <col min="1" max="1" width="10.5546875" style="177" customWidth="1"/>
    <col min="2" max="2" width="63.6640625" style="179" customWidth="1"/>
    <col min="3" max="16384" width="8.88671875" style="4"/>
  </cols>
  <sheetData>
    <row r="1" spans="1:2" x14ac:dyDescent="0.2">
      <c r="A1" s="315" t="s">
        <v>370</v>
      </c>
      <c r="B1" s="316" t="s">
        <v>371</v>
      </c>
    </row>
    <row r="2" spans="1:2" x14ac:dyDescent="0.2">
      <c r="A2" s="317">
        <v>41244</v>
      </c>
      <c r="B2" s="318" t="s">
        <v>454</v>
      </c>
    </row>
    <row r="3" spans="1:2" ht="51" x14ac:dyDescent="0.2">
      <c r="A3" s="317"/>
      <c r="B3" s="318" t="s">
        <v>456</v>
      </c>
    </row>
    <row r="4" spans="1:2" x14ac:dyDescent="0.2">
      <c r="A4" s="317">
        <v>41257</v>
      </c>
      <c r="B4" s="319" t="s">
        <v>459</v>
      </c>
    </row>
    <row r="5" spans="1:2" ht="25.5" x14ac:dyDescent="0.2">
      <c r="A5" s="317">
        <v>41299</v>
      </c>
      <c r="B5" s="318" t="s">
        <v>466</v>
      </c>
    </row>
    <row r="6" spans="1:2" ht="25.5" x14ac:dyDescent="0.2">
      <c r="A6" s="317"/>
      <c r="B6" s="318" t="s">
        <v>467</v>
      </c>
    </row>
    <row r="7" spans="1:2" ht="25.5" x14ac:dyDescent="0.2">
      <c r="A7" s="317"/>
      <c r="B7" s="318" t="s">
        <v>468</v>
      </c>
    </row>
    <row r="8" spans="1:2" x14ac:dyDescent="0.2">
      <c r="A8" s="317">
        <v>41318</v>
      </c>
      <c r="B8" s="318" t="s">
        <v>469</v>
      </c>
    </row>
    <row r="9" spans="1:2" x14ac:dyDescent="0.2">
      <c r="A9" s="317"/>
      <c r="B9" s="318" t="s">
        <v>472</v>
      </c>
    </row>
    <row r="10" spans="1:2" x14ac:dyDescent="0.2">
      <c r="A10" s="317"/>
      <c r="B10" s="318" t="s">
        <v>470</v>
      </c>
    </row>
    <row r="11" spans="1:2" ht="25.5" x14ac:dyDescent="0.2">
      <c r="A11" s="317">
        <v>41347</v>
      </c>
      <c r="B11" s="318" t="s">
        <v>478</v>
      </c>
    </row>
    <row r="12" spans="1:2" ht="25.5" x14ac:dyDescent="0.2">
      <c r="A12" s="317"/>
      <c r="B12" s="318" t="s">
        <v>471</v>
      </c>
    </row>
    <row r="13" spans="1:2" ht="25.5" x14ac:dyDescent="0.2">
      <c r="A13" s="317"/>
      <c r="B13" s="318" t="s">
        <v>473</v>
      </c>
    </row>
    <row r="14" spans="1:2" ht="25.5" x14ac:dyDescent="0.2">
      <c r="A14" s="317"/>
      <c r="B14" s="318" t="s">
        <v>474</v>
      </c>
    </row>
    <row r="15" spans="1:2" x14ac:dyDescent="0.2">
      <c r="A15" s="317"/>
      <c r="B15" s="318" t="s">
        <v>476</v>
      </c>
    </row>
    <row r="16" spans="1:2" ht="25.5" x14ac:dyDescent="0.2">
      <c r="A16" s="317"/>
      <c r="B16" s="318" t="s">
        <v>479</v>
      </c>
    </row>
    <row r="17" spans="1:2" ht="25.5" x14ac:dyDescent="0.2">
      <c r="A17" s="317">
        <v>41360</v>
      </c>
      <c r="B17" s="318" t="s">
        <v>489</v>
      </c>
    </row>
    <row r="18" spans="1:2" x14ac:dyDescent="0.2">
      <c r="A18" s="317"/>
      <c r="B18" s="318" t="s">
        <v>481</v>
      </c>
    </row>
    <row r="19" spans="1:2" x14ac:dyDescent="0.2">
      <c r="A19" s="317"/>
      <c r="B19" s="318" t="s">
        <v>482</v>
      </c>
    </row>
    <row r="20" spans="1:2" ht="25.5" x14ac:dyDescent="0.2">
      <c r="A20" s="317"/>
      <c r="B20" s="318" t="s">
        <v>483</v>
      </c>
    </row>
    <row r="21" spans="1:2" ht="25.5" x14ac:dyDescent="0.2">
      <c r="A21" s="317"/>
      <c r="B21" s="318" t="s">
        <v>484</v>
      </c>
    </row>
    <row r="22" spans="1:2" ht="38.25" x14ac:dyDescent="0.2">
      <c r="A22" s="317"/>
      <c r="B22" s="318" t="s">
        <v>486</v>
      </c>
    </row>
    <row r="23" spans="1:2" x14ac:dyDescent="0.2">
      <c r="A23" s="317"/>
      <c r="B23" s="318" t="s">
        <v>490</v>
      </c>
    </row>
    <row r="24" spans="1:2" x14ac:dyDescent="0.2">
      <c r="A24" s="317"/>
      <c r="B24" s="318" t="s">
        <v>491</v>
      </c>
    </row>
    <row r="25" spans="1:2" ht="25.5" x14ac:dyDescent="0.2">
      <c r="A25" s="317"/>
      <c r="B25" s="318" t="s">
        <v>493</v>
      </c>
    </row>
    <row r="26" spans="1:2" x14ac:dyDescent="0.2">
      <c r="A26" s="317"/>
      <c r="B26" s="318" t="s">
        <v>494</v>
      </c>
    </row>
    <row r="27" spans="1:2" ht="25.5" x14ac:dyDescent="0.2">
      <c r="A27" s="317">
        <v>41373</v>
      </c>
      <c r="B27" s="318" t="s">
        <v>495</v>
      </c>
    </row>
    <row r="28" spans="1:2" x14ac:dyDescent="0.2">
      <c r="A28" s="317"/>
      <c r="B28" s="318" t="s">
        <v>496</v>
      </c>
    </row>
    <row r="29" spans="1:2" ht="38.25" x14ac:dyDescent="0.2">
      <c r="A29" s="317"/>
      <c r="B29" s="318" t="s">
        <v>497</v>
      </c>
    </row>
    <row r="30" spans="1:2" ht="25.5" x14ac:dyDescent="0.2">
      <c r="A30" s="317"/>
      <c r="B30" s="318" t="s">
        <v>498</v>
      </c>
    </row>
    <row r="31" spans="1:2" ht="25.5" x14ac:dyDescent="0.2">
      <c r="A31" s="317"/>
      <c r="B31" s="318" t="s">
        <v>499</v>
      </c>
    </row>
    <row r="32" spans="1:2" x14ac:dyDescent="0.2">
      <c r="A32" s="317"/>
      <c r="B32" s="318" t="s">
        <v>500</v>
      </c>
    </row>
    <row r="33" spans="1:2" x14ac:dyDescent="0.2">
      <c r="A33" s="317"/>
      <c r="B33" s="318" t="s">
        <v>502</v>
      </c>
    </row>
    <row r="34" spans="1:2" ht="38.25" x14ac:dyDescent="0.2">
      <c r="A34" s="317"/>
      <c r="B34" s="318" t="s">
        <v>503</v>
      </c>
    </row>
    <row r="35" spans="1:2" ht="25.5" x14ac:dyDescent="0.2">
      <c r="A35" s="317">
        <v>41375</v>
      </c>
      <c r="B35" s="318" t="s">
        <v>504</v>
      </c>
    </row>
    <row r="36" spans="1:2" ht="25.5" x14ac:dyDescent="0.2">
      <c r="A36" s="317"/>
      <c r="B36" s="318" t="s">
        <v>511</v>
      </c>
    </row>
    <row r="37" spans="1:2" x14ac:dyDescent="0.2">
      <c r="A37" s="317"/>
      <c r="B37" s="318" t="s">
        <v>505</v>
      </c>
    </row>
    <row r="38" spans="1:2" ht="38.25" x14ac:dyDescent="0.2">
      <c r="A38" s="317"/>
      <c r="B38" s="318" t="s">
        <v>512</v>
      </c>
    </row>
    <row r="39" spans="1:2" ht="25.5" x14ac:dyDescent="0.2">
      <c r="A39" s="317"/>
      <c r="B39" s="318" t="s">
        <v>582</v>
      </c>
    </row>
    <row r="40" spans="1:2" ht="38.25" x14ac:dyDescent="0.2">
      <c r="A40" s="317"/>
      <c r="B40" s="318" t="s">
        <v>513</v>
      </c>
    </row>
    <row r="41" spans="1:2" x14ac:dyDescent="0.2">
      <c r="A41" s="317">
        <v>41376</v>
      </c>
      <c r="B41" s="319" t="s">
        <v>519</v>
      </c>
    </row>
    <row r="42" spans="1:2" x14ac:dyDescent="0.2">
      <c r="A42" s="317"/>
      <c r="B42" s="319" t="s">
        <v>516</v>
      </c>
    </row>
    <row r="43" spans="1:2" ht="25.5" x14ac:dyDescent="0.2">
      <c r="A43" s="317"/>
      <c r="B43" s="319" t="s">
        <v>517</v>
      </c>
    </row>
    <row r="44" spans="1:2" x14ac:dyDescent="0.2">
      <c r="A44" s="317">
        <v>41386</v>
      </c>
      <c r="B44" s="318" t="s">
        <v>518</v>
      </c>
    </row>
    <row r="45" spans="1:2" x14ac:dyDescent="0.2">
      <c r="A45" s="317"/>
      <c r="B45" s="318"/>
    </row>
    <row r="46" spans="1:2" x14ac:dyDescent="0.2">
      <c r="A46" s="317"/>
      <c r="B46" s="318"/>
    </row>
    <row r="47" spans="1:2" x14ac:dyDescent="0.2">
      <c r="A47" s="317"/>
      <c r="B47" s="318"/>
    </row>
    <row r="48" spans="1:2" x14ac:dyDescent="0.2">
      <c r="A48" s="317"/>
      <c r="B48" s="318"/>
    </row>
    <row r="49" spans="1:2" x14ac:dyDescent="0.2">
      <c r="A49" s="317"/>
      <c r="B49" s="318"/>
    </row>
    <row r="50" spans="1:2" x14ac:dyDescent="0.2">
      <c r="A50" s="317"/>
      <c r="B50" s="318"/>
    </row>
    <row r="51" spans="1:2" x14ac:dyDescent="0.2">
      <c r="A51" s="317"/>
      <c r="B51" s="318"/>
    </row>
    <row r="52" spans="1:2" x14ac:dyDescent="0.2">
      <c r="A52" s="317"/>
      <c r="B52" s="318"/>
    </row>
    <row r="53" spans="1:2" x14ac:dyDescent="0.2">
      <c r="A53" s="317"/>
      <c r="B53" s="318"/>
    </row>
    <row r="54" spans="1:2" x14ac:dyDescent="0.2">
      <c r="A54" s="317"/>
      <c r="B54" s="318"/>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K44"/>
  <sheetViews>
    <sheetView topLeftCell="A10" workbookViewId="0">
      <selection activeCell="F28" sqref="F28"/>
    </sheetView>
  </sheetViews>
  <sheetFormatPr defaultRowHeight="15" x14ac:dyDescent="0.25"/>
  <cols>
    <col min="1" max="1" width="14.88671875" style="200" bestFit="1" customWidth="1"/>
    <col min="2" max="2" width="10.77734375" style="200" customWidth="1"/>
    <col min="3" max="3" width="9.77734375" style="200" customWidth="1"/>
    <col min="4" max="4" width="18.5546875" style="200" bestFit="1" customWidth="1"/>
    <col min="5" max="5" width="12.21875" style="200" customWidth="1"/>
    <col min="6" max="6" width="12.77734375" style="200" customWidth="1"/>
    <col min="7" max="7" width="11" style="200" customWidth="1"/>
    <col min="8" max="8" width="11" style="200" bestFit="1" customWidth="1"/>
    <col min="9" max="9" width="10.33203125" style="200" customWidth="1"/>
    <col min="10" max="10" width="9.77734375" style="200" bestFit="1" customWidth="1"/>
    <col min="11" max="16384" width="8.88671875" style="200"/>
  </cols>
  <sheetData>
    <row r="1" spans="1:11" x14ac:dyDescent="0.25">
      <c r="A1" s="199" t="s">
        <v>321</v>
      </c>
      <c r="G1" s="201"/>
    </row>
    <row r="2" spans="1:11" x14ac:dyDescent="0.25">
      <c r="A2" s="199" t="s">
        <v>377</v>
      </c>
    </row>
    <row r="4" spans="1:11" x14ac:dyDescent="0.25">
      <c r="B4" s="202" t="s">
        <v>322</v>
      </c>
      <c r="C4" s="202"/>
      <c r="E4" s="202" t="s">
        <v>323</v>
      </c>
      <c r="G4" s="203" t="s">
        <v>425</v>
      </c>
    </row>
    <row r="5" spans="1:11" ht="15.75" thickBot="1" x14ac:dyDescent="0.3">
      <c r="A5" s="204" t="s">
        <v>324</v>
      </c>
      <c r="B5" s="205">
        <v>2601485</v>
      </c>
      <c r="C5" s="205"/>
      <c r="D5" s="205" t="s">
        <v>325</v>
      </c>
      <c r="J5" s="206"/>
    </row>
    <row r="6" spans="1:11" x14ac:dyDescent="0.25">
      <c r="A6" s="207">
        <v>2.5000000000000001E-2</v>
      </c>
      <c r="B6" s="208">
        <v>65037.125</v>
      </c>
      <c r="C6" s="208"/>
      <c r="D6" s="209" t="s">
        <v>326</v>
      </c>
      <c r="E6" s="205">
        <v>473</v>
      </c>
      <c r="F6" s="205"/>
      <c r="G6" s="653" t="s">
        <v>416</v>
      </c>
      <c r="H6" s="654"/>
      <c r="I6" s="655"/>
      <c r="J6" s="206"/>
    </row>
    <row r="7" spans="1:11" x14ac:dyDescent="0.25">
      <c r="A7" s="210" t="s">
        <v>75</v>
      </c>
      <c r="B7" s="211">
        <v>10000</v>
      </c>
      <c r="C7" s="212"/>
      <c r="D7" s="209" t="s">
        <v>327</v>
      </c>
      <c r="E7" s="205">
        <v>3900</v>
      </c>
      <c r="F7" s="205"/>
      <c r="G7" s="656" t="s">
        <v>415</v>
      </c>
      <c r="H7" s="657"/>
      <c r="I7" s="658"/>
    </row>
    <row r="8" spans="1:11" x14ac:dyDescent="0.25">
      <c r="B8" s="205">
        <v>2676522.125</v>
      </c>
      <c r="C8" s="205"/>
      <c r="D8" s="209" t="s">
        <v>328</v>
      </c>
      <c r="E8" s="205">
        <v>2332</v>
      </c>
      <c r="F8" s="205"/>
      <c r="G8" s="213" t="s">
        <v>402</v>
      </c>
      <c r="H8" s="201"/>
      <c r="I8" s="214"/>
      <c r="K8" s="204" t="s">
        <v>448</v>
      </c>
    </row>
    <row r="9" spans="1:11" x14ac:dyDescent="0.25">
      <c r="A9" s="210" t="s">
        <v>76</v>
      </c>
      <c r="B9" s="211">
        <v>24120</v>
      </c>
      <c r="C9" s="212"/>
      <c r="D9" s="209" t="s">
        <v>329</v>
      </c>
      <c r="E9" s="205">
        <v>13543</v>
      </c>
      <c r="F9" s="205"/>
      <c r="G9" s="215"/>
      <c r="H9" s="216" t="s">
        <v>414</v>
      </c>
      <c r="I9" s="217">
        <v>10932.52</v>
      </c>
      <c r="K9" s="218">
        <v>10932.52</v>
      </c>
    </row>
    <row r="10" spans="1:11" ht="15.75" customHeight="1" x14ac:dyDescent="0.25">
      <c r="A10" s="200" t="s">
        <v>330</v>
      </c>
      <c r="B10" s="205">
        <v>2700642.125</v>
      </c>
      <c r="C10" s="205"/>
      <c r="D10" s="209" t="s">
        <v>331</v>
      </c>
      <c r="E10" s="211">
        <v>81500</v>
      </c>
      <c r="F10" s="205"/>
      <c r="G10" s="215"/>
      <c r="H10" s="216" t="s">
        <v>353</v>
      </c>
      <c r="I10" s="198">
        <v>10148.150399999693</v>
      </c>
      <c r="K10" s="218">
        <v>15148.159800000023</v>
      </c>
    </row>
    <row r="11" spans="1:11" x14ac:dyDescent="0.25">
      <c r="B11" s="205"/>
      <c r="C11" s="205"/>
      <c r="D11" s="219" t="s">
        <v>350</v>
      </c>
      <c r="E11" s="205">
        <v>101748</v>
      </c>
      <c r="F11" s="205"/>
      <c r="G11" s="220" t="s">
        <v>409</v>
      </c>
      <c r="H11" s="221"/>
      <c r="I11" s="187">
        <v>21080.670399999693</v>
      </c>
      <c r="K11" s="218">
        <v>26080.679800000024</v>
      </c>
    </row>
    <row r="12" spans="1:11" x14ac:dyDescent="0.25">
      <c r="A12" s="200" t="s">
        <v>77</v>
      </c>
      <c r="B12" s="219">
        <v>242312</v>
      </c>
      <c r="C12" s="205"/>
      <c r="D12" s="205"/>
      <c r="E12" s="205"/>
      <c r="F12" s="205"/>
      <c r="G12" s="213"/>
      <c r="H12" s="221"/>
      <c r="I12" s="217"/>
      <c r="K12" s="218"/>
    </row>
    <row r="13" spans="1:11" ht="15.75" customHeight="1" x14ac:dyDescent="0.25">
      <c r="B13" s="205"/>
      <c r="C13" s="205"/>
      <c r="D13" s="209" t="s">
        <v>332</v>
      </c>
      <c r="E13" s="205">
        <v>28000</v>
      </c>
      <c r="F13" s="219"/>
      <c r="G13" s="213" t="s">
        <v>408</v>
      </c>
      <c r="H13" s="201"/>
      <c r="I13" s="217"/>
      <c r="K13" s="218"/>
    </row>
    <row r="14" spans="1:11" x14ac:dyDescent="0.25">
      <c r="A14" s="200" t="s">
        <v>333</v>
      </c>
      <c r="B14" s="205"/>
      <c r="C14" s="205"/>
      <c r="D14" s="222" t="s">
        <v>348</v>
      </c>
      <c r="E14" s="205">
        <v>0</v>
      </c>
      <c r="F14" s="205"/>
      <c r="G14" s="215"/>
      <c r="H14" s="216" t="s">
        <v>412</v>
      </c>
      <c r="I14" s="217">
        <v>22500</v>
      </c>
      <c r="K14" s="218">
        <v>23000</v>
      </c>
    </row>
    <row r="15" spans="1:11" x14ac:dyDescent="0.25">
      <c r="A15" s="210" t="s">
        <v>334</v>
      </c>
      <c r="B15" s="205">
        <v>725004</v>
      </c>
      <c r="C15" s="205"/>
      <c r="F15" s="205"/>
      <c r="G15" s="215"/>
      <c r="H15" s="216" t="s">
        <v>413</v>
      </c>
      <c r="I15" s="198">
        <v>13000</v>
      </c>
      <c r="K15" s="218">
        <v>23000</v>
      </c>
    </row>
    <row r="16" spans="1:11" x14ac:dyDescent="0.25">
      <c r="A16" s="210" t="s">
        <v>336</v>
      </c>
      <c r="B16" s="205">
        <v>185338</v>
      </c>
      <c r="C16" s="205"/>
      <c r="D16" s="205" t="s">
        <v>335</v>
      </c>
      <c r="E16" s="205"/>
      <c r="F16" s="205"/>
      <c r="G16" s="220" t="s">
        <v>410</v>
      </c>
      <c r="H16" s="221"/>
      <c r="I16" s="187">
        <v>35500</v>
      </c>
      <c r="K16" s="218">
        <v>46000</v>
      </c>
    </row>
    <row r="17" spans="1:9" ht="15.75" thickBot="1" x14ac:dyDescent="0.3">
      <c r="A17" s="210" t="s">
        <v>337</v>
      </c>
      <c r="B17" s="205">
        <v>7011</v>
      </c>
      <c r="C17" s="205"/>
      <c r="D17" s="222" t="s">
        <v>351</v>
      </c>
      <c r="E17" s="205">
        <v>2000</v>
      </c>
      <c r="F17" s="205"/>
      <c r="G17" s="223"/>
      <c r="H17" s="224"/>
      <c r="I17" s="225"/>
    </row>
    <row r="18" spans="1:9" x14ac:dyDescent="0.25">
      <c r="A18" s="210" t="s">
        <v>338</v>
      </c>
      <c r="B18" s="226">
        <v>8562</v>
      </c>
      <c r="C18" s="205"/>
      <c r="D18" s="222" t="s">
        <v>352</v>
      </c>
      <c r="E18" s="212">
        <v>7094.72</v>
      </c>
      <c r="F18" s="205"/>
      <c r="G18" s="204"/>
    </row>
    <row r="19" spans="1:9" x14ac:dyDescent="0.25">
      <c r="A19" s="210" t="s">
        <v>339</v>
      </c>
      <c r="B19" s="211">
        <v>26059</v>
      </c>
      <c r="C19" s="212"/>
      <c r="D19" s="227" t="s">
        <v>376</v>
      </c>
      <c r="E19" s="228">
        <v>3500</v>
      </c>
      <c r="F19" s="205"/>
    </row>
    <row r="20" spans="1:9" x14ac:dyDescent="0.25">
      <c r="A20" s="210" t="s">
        <v>340</v>
      </c>
      <c r="B20" s="205">
        <v>951974</v>
      </c>
      <c r="C20" s="205"/>
      <c r="E20" s="205">
        <v>12594.720000000001</v>
      </c>
      <c r="F20" s="205"/>
      <c r="G20" s="204"/>
    </row>
    <row r="21" spans="1:9" x14ac:dyDescent="0.25">
      <c r="B21" s="205"/>
      <c r="C21" s="205"/>
      <c r="E21" s="229"/>
      <c r="F21" s="205"/>
    </row>
    <row r="22" spans="1:9" x14ac:dyDescent="0.25">
      <c r="A22" s="230" t="s">
        <v>341</v>
      </c>
      <c r="B22" s="205"/>
      <c r="C22" s="205"/>
      <c r="D22" s="219" t="s">
        <v>349</v>
      </c>
      <c r="E22" s="212">
        <v>142342.72</v>
      </c>
      <c r="F22" s="205"/>
    </row>
    <row r="23" spans="1:9" ht="15.75" thickBot="1" x14ac:dyDescent="0.3">
      <c r="A23" s="210" t="s">
        <v>342</v>
      </c>
      <c r="B23" s="205">
        <v>82454</v>
      </c>
      <c r="C23" s="231"/>
      <c r="D23" s="205"/>
      <c r="E23" s="232"/>
      <c r="F23" s="205"/>
    </row>
    <row r="24" spans="1:9" ht="15.75" thickTop="1" x14ac:dyDescent="0.25">
      <c r="A24" s="210" t="s">
        <v>343</v>
      </c>
      <c r="B24" s="211">
        <v>0</v>
      </c>
      <c r="C24" s="205"/>
      <c r="D24" s="205" t="s">
        <v>346</v>
      </c>
      <c r="E24" s="233">
        <v>3835039.4049999998</v>
      </c>
      <c r="F24" s="205"/>
      <c r="H24" s="234"/>
    </row>
    <row r="25" spans="1:9" x14ac:dyDescent="0.25">
      <c r="A25" s="210" t="s">
        <v>344</v>
      </c>
      <c r="B25" s="205">
        <v>82454</v>
      </c>
      <c r="C25" s="212"/>
      <c r="D25" s="205"/>
      <c r="E25" s="205"/>
      <c r="F25" s="205"/>
    </row>
    <row r="26" spans="1:9" x14ac:dyDescent="0.25">
      <c r="B26" s="205"/>
      <c r="C26" s="205"/>
      <c r="D26" s="219" t="s">
        <v>353</v>
      </c>
      <c r="E26" s="234">
        <v>3824891.2546000001</v>
      </c>
      <c r="F26" s="205"/>
    </row>
    <row r="27" spans="1:9" x14ac:dyDescent="0.25">
      <c r="A27" s="230" t="s">
        <v>345</v>
      </c>
      <c r="B27" s="235">
        <v>3977382.125</v>
      </c>
      <c r="C27" s="205"/>
      <c r="D27" s="211"/>
      <c r="E27" s="229"/>
      <c r="F27" s="236"/>
    </row>
    <row r="28" spans="1:9" x14ac:dyDescent="0.25">
      <c r="C28" s="205"/>
      <c r="D28" s="226" t="s">
        <v>402</v>
      </c>
      <c r="E28" s="205">
        <v>10148.150399999693</v>
      </c>
      <c r="F28" s="205"/>
    </row>
    <row r="29" spans="1:9" x14ac:dyDescent="0.25">
      <c r="B29" s="205"/>
      <c r="C29" s="205"/>
      <c r="D29" s="204"/>
      <c r="F29" s="205"/>
    </row>
    <row r="30" spans="1:9" x14ac:dyDescent="0.25">
      <c r="B30" s="205"/>
      <c r="C30" s="205"/>
      <c r="E30" s="205"/>
      <c r="F30" s="205"/>
    </row>
    <row r="31" spans="1:9" x14ac:dyDescent="0.25">
      <c r="B31" s="205"/>
      <c r="C31" s="205"/>
      <c r="F31" s="205"/>
    </row>
    <row r="32" spans="1:9" x14ac:dyDescent="0.25">
      <c r="B32" s="205"/>
      <c r="C32" s="205"/>
      <c r="E32" s="205"/>
    </row>
    <row r="33" spans="2:4" x14ac:dyDescent="0.25">
      <c r="B33" s="205"/>
      <c r="C33" s="205"/>
    </row>
    <row r="34" spans="2:4" ht="15.75" thickBot="1" x14ac:dyDescent="0.3">
      <c r="B34" s="205"/>
      <c r="C34" s="205"/>
    </row>
    <row r="35" spans="2:4" x14ac:dyDescent="0.25">
      <c r="B35" s="653" t="s">
        <v>364</v>
      </c>
      <c r="C35" s="654"/>
      <c r="D35" s="655"/>
    </row>
    <row r="36" spans="2:4" x14ac:dyDescent="0.25">
      <c r="B36" s="659" t="s">
        <v>365</v>
      </c>
      <c r="C36" s="660"/>
      <c r="D36" s="661"/>
    </row>
    <row r="37" spans="2:4" x14ac:dyDescent="0.25">
      <c r="B37" s="649" t="s">
        <v>366</v>
      </c>
      <c r="C37" s="650"/>
      <c r="D37" s="237">
        <v>72454</v>
      </c>
    </row>
    <row r="38" spans="2:4" x14ac:dyDescent="0.25">
      <c r="B38" s="238"/>
      <c r="C38" s="216" t="s">
        <v>353</v>
      </c>
      <c r="D38" s="237">
        <v>10000</v>
      </c>
    </row>
    <row r="39" spans="2:4" x14ac:dyDescent="0.25">
      <c r="B39" s="649" t="s">
        <v>367</v>
      </c>
      <c r="C39" s="650"/>
      <c r="D39" s="237">
        <v>23321</v>
      </c>
    </row>
    <row r="40" spans="2:4" x14ac:dyDescent="0.25">
      <c r="B40" s="649" t="s">
        <v>368</v>
      </c>
      <c r="C40" s="650"/>
      <c r="D40" s="237">
        <v>13000</v>
      </c>
    </row>
    <row r="41" spans="2:4" x14ac:dyDescent="0.25">
      <c r="B41" s="649" t="s">
        <v>387</v>
      </c>
      <c r="C41" s="650"/>
      <c r="D41" s="237">
        <v>5000</v>
      </c>
    </row>
    <row r="42" spans="2:4" x14ac:dyDescent="0.25">
      <c r="B42" s="238"/>
      <c r="C42" s="216" t="s">
        <v>411</v>
      </c>
      <c r="D42" s="237">
        <v>292.48</v>
      </c>
    </row>
    <row r="43" spans="2:4" x14ac:dyDescent="0.25">
      <c r="B43" s="649" t="s">
        <v>369</v>
      </c>
      <c r="C43" s="650"/>
      <c r="D43" s="237">
        <v>10932.52</v>
      </c>
    </row>
    <row r="44" spans="2:4" ht="15.75" thickBot="1" x14ac:dyDescent="0.3">
      <c r="B44" s="651" t="s">
        <v>103</v>
      </c>
      <c r="C44" s="652"/>
      <c r="D44" s="173">
        <v>135000</v>
      </c>
    </row>
  </sheetData>
  <mergeCells count="10">
    <mergeCell ref="B40:C40"/>
    <mergeCell ref="B41:C41"/>
    <mergeCell ref="B43:C43"/>
    <mergeCell ref="B44:C44"/>
    <mergeCell ref="G6:I6"/>
    <mergeCell ref="G7:I7"/>
    <mergeCell ref="B35:D35"/>
    <mergeCell ref="B36:D36"/>
    <mergeCell ref="B37:C37"/>
    <mergeCell ref="B39:C39"/>
  </mergeCells>
  <conditionalFormatting sqref="D44">
    <cfRule type="cellIs" dxfId="0" priority="1" operator="greaterThan">
      <formula>135000</formula>
    </cfRule>
  </conditionalFormatting>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S235"/>
  <sheetViews>
    <sheetView zoomScaleNormal="100" zoomScaleSheetLayoutView="75" workbookViewId="0">
      <pane ySplit="4" topLeftCell="A5" activePane="bottomLeft" state="frozen"/>
      <selection pane="bottomLeft" activeCell="H231" sqref="H231"/>
    </sheetView>
  </sheetViews>
  <sheetFormatPr defaultColWidth="11.5546875" defaultRowHeight="14.25" outlineLevelRow="1" x14ac:dyDescent="0.2"/>
  <cols>
    <col min="1" max="1" width="13.88671875" style="4" customWidth="1"/>
    <col min="2" max="2" width="30.109375" style="4" customWidth="1"/>
    <col min="3" max="3" width="15" style="80" hidden="1" customWidth="1"/>
    <col min="4" max="4" width="15" style="80" customWidth="1"/>
    <col min="5" max="5" width="14.88671875" style="80" hidden="1" customWidth="1"/>
    <col min="6" max="6" width="15" style="81" customWidth="1"/>
    <col min="7" max="8" width="15.109375" style="80" customWidth="1"/>
    <col min="9" max="9" width="15" style="80" customWidth="1"/>
    <col min="10" max="10" width="11" style="3" customWidth="1"/>
    <col min="11" max="11" width="7.109375" style="4" customWidth="1"/>
    <col min="12" max="12" width="16" style="4" customWidth="1"/>
    <col min="13" max="13" width="8.6640625" style="4" customWidth="1"/>
    <col min="14" max="14" width="11.44140625" style="4" customWidth="1"/>
    <col min="15" max="15" width="5.109375" style="4" customWidth="1"/>
    <col min="16" max="16" width="9.33203125" style="4" customWidth="1"/>
    <col min="17" max="18" width="11.5546875" style="4"/>
    <col min="19" max="19" width="14.88671875" style="4" customWidth="1"/>
    <col min="20" max="16384" width="11.5546875" style="4"/>
  </cols>
  <sheetData>
    <row r="1" spans="1:19" ht="21" customHeight="1" thickBot="1" x14ac:dyDescent="0.3">
      <c r="A1" s="8" t="s">
        <v>0</v>
      </c>
      <c r="B1" s="8"/>
      <c r="C1" s="104"/>
      <c r="D1" s="105"/>
      <c r="E1" s="85"/>
      <c r="F1" s="105"/>
      <c r="G1" s="662" t="s">
        <v>247</v>
      </c>
      <c r="H1" s="662"/>
      <c r="I1" s="662"/>
      <c r="L1" s="663" t="s">
        <v>282</v>
      </c>
      <c r="M1" s="664"/>
      <c r="N1" s="110">
        <f>N226</f>
        <v>5065.4200000000019</v>
      </c>
      <c r="P1" s="239">
        <v>0.02</v>
      </c>
      <c r="Q1" s="665" t="s">
        <v>265</v>
      </c>
      <c r="R1" s="624"/>
      <c r="S1" s="625"/>
    </row>
    <row r="2" spans="1:19" ht="15.75" customHeight="1" thickBot="1" x14ac:dyDescent="0.3">
      <c r="A2" s="5"/>
      <c r="B2" s="5"/>
      <c r="C2" s="6"/>
      <c r="D2" s="2"/>
      <c r="E2" s="7"/>
      <c r="F2" s="2"/>
      <c r="G2" s="7"/>
      <c r="H2" s="7"/>
      <c r="I2" s="7"/>
      <c r="L2" s="629"/>
      <c r="M2" s="629"/>
      <c r="N2" s="109" t="s">
        <v>384</v>
      </c>
      <c r="P2" s="161"/>
      <c r="Q2" s="188"/>
      <c r="R2" s="189"/>
      <c r="S2" s="190"/>
    </row>
    <row r="3" spans="1:19" ht="16.5" customHeight="1" thickBot="1" x14ac:dyDescent="0.3">
      <c r="A3" s="8" t="s">
        <v>93</v>
      </c>
      <c r="B3" s="5"/>
      <c r="C3" s="9" t="s">
        <v>91</v>
      </c>
      <c r="D3" s="164" t="s">
        <v>90</v>
      </c>
      <c r="E3" s="98" t="s">
        <v>91</v>
      </c>
      <c r="F3" s="10" t="s">
        <v>90</v>
      </c>
      <c r="G3" s="82" t="s">
        <v>91</v>
      </c>
      <c r="H3" s="11" t="s">
        <v>89</v>
      </c>
      <c r="I3" s="82" t="s">
        <v>92</v>
      </c>
      <c r="J3" s="121" t="s">
        <v>173</v>
      </c>
      <c r="K3" s="12"/>
      <c r="M3" s="630" t="s">
        <v>266</v>
      </c>
      <c r="N3" s="630" t="s">
        <v>267</v>
      </c>
      <c r="O3" s="13"/>
      <c r="P3" s="162">
        <v>2</v>
      </c>
      <c r="Q3" s="666" t="s">
        <v>249</v>
      </c>
      <c r="R3" s="621"/>
      <c r="S3" s="622"/>
    </row>
    <row r="4" spans="1:19" ht="15" x14ac:dyDescent="0.25">
      <c r="B4" s="14"/>
      <c r="C4" s="15" t="s">
        <v>94</v>
      </c>
      <c r="D4" s="16" t="s">
        <v>94</v>
      </c>
      <c r="E4" s="99" t="s">
        <v>169</v>
      </c>
      <c r="F4" s="17" t="s">
        <v>169</v>
      </c>
      <c r="G4" s="83" t="s">
        <v>246</v>
      </c>
      <c r="H4" s="18" t="s">
        <v>246</v>
      </c>
      <c r="I4" s="83" t="s">
        <v>347</v>
      </c>
      <c r="J4" s="122"/>
      <c r="L4" s="19"/>
      <c r="M4" s="631"/>
      <c r="N4" s="631"/>
      <c r="O4" s="13"/>
      <c r="P4" s="13"/>
      <c r="Q4" s="667" t="s">
        <v>312</v>
      </c>
      <c r="R4" s="621"/>
      <c r="S4" s="622"/>
    </row>
    <row r="5" spans="1:19" ht="15" x14ac:dyDescent="0.25">
      <c r="A5" s="22" t="s">
        <v>248</v>
      </c>
      <c r="B5" s="23"/>
      <c r="C5" s="23"/>
      <c r="D5" s="24"/>
      <c r="E5" s="23"/>
      <c r="F5" s="24"/>
      <c r="G5" s="24"/>
      <c r="H5" s="24"/>
      <c r="I5" s="24"/>
      <c r="J5" s="123"/>
      <c r="L5" s="19"/>
      <c r="M5" s="20"/>
      <c r="N5" s="21"/>
      <c r="O5" s="13"/>
      <c r="P5" s="13"/>
    </row>
    <row r="6" spans="1:19" x14ac:dyDescent="0.2">
      <c r="A6" s="25" t="s">
        <v>95</v>
      </c>
      <c r="B6" s="26" t="s">
        <v>96</v>
      </c>
      <c r="C6" s="27">
        <v>111.1</v>
      </c>
      <c r="D6" s="28">
        <v>111.1</v>
      </c>
      <c r="E6" s="7">
        <v>114.43</v>
      </c>
      <c r="F6" s="29">
        <v>111.1</v>
      </c>
      <c r="G6" s="28">
        <v>114.43</v>
      </c>
      <c r="H6" s="28">
        <v>113.322</v>
      </c>
      <c r="I6" s="28">
        <v>2.2220000000000084</v>
      </c>
      <c r="J6" s="240">
        <v>2.0000000000000018E-2</v>
      </c>
      <c r="K6" s="241"/>
      <c r="L6" s="19"/>
      <c r="M6" s="30" t="s">
        <v>209</v>
      </c>
      <c r="N6" s="31">
        <f t="shared" ref="N6:N69" si="0">ROUND(IF(M6="Y",F6*$P$1,0),2)</f>
        <v>2.2200000000000002</v>
      </c>
    </row>
    <row r="7" spans="1:19" x14ac:dyDescent="0.2">
      <c r="A7" s="32" t="s">
        <v>215</v>
      </c>
      <c r="B7" s="37" t="s">
        <v>216</v>
      </c>
      <c r="C7" s="34">
        <v>978.06</v>
      </c>
      <c r="D7" s="35">
        <v>973.30925000000002</v>
      </c>
      <c r="E7" s="100">
        <v>1002.51</v>
      </c>
      <c r="F7" s="36">
        <v>987.91</v>
      </c>
      <c r="G7" s="35">
        <v>1017.55</v>
      </c>
      <c r="H7" s="35">
        <v>1007.6682</v>
      </c>
      <c r="I7" s="35">
        <v>19.758199999999988</v>
      </c>
      <c r="J7" s="242">
        <v>2.0000000000000018E-2</v>
      </c>
      <c r="K7" s="241"/>
      <c r="M7" s="30" t="s">
        <v>209</v>
      </c>
      <c r="N7" s="31">
        <f t="shared" si="0"/>
        <v>19.760000000000002</v>
      </c>
    </row>
    <row r="8" spans="1:19" x14ac:dyDescent="0.2">
      <c r="A8" s="25" t="s">
        <v>221</v>
      </c>
      <c r="B8" s="26" t="s">
        <v>222</v>
      </c>
      <c r="C8" s="27">
        <v>4300</v>
      </c>
      <c r="D8" s="28">
        <v>4300</v>
      </c>
      <c r="E8" s="7">
        <v>4600</v>
      </c>
      <c r="F8" s="29">
        <v>4600</v>
      </c>
      <c r="G8" s="28">
        <v>4600</v>
      </c>
      <c r="H8" s="28">
        <v>4600</v>
      </c>
      <c r="I8" s="28">
        <v>0</v>
      </c>
      <c r="J8" s="240">
        <v>0</v>
      </c>
      <c r="K8" s="241"/>
      <c r="M8" s="30"/>
      <c r="N8" s="31">
        <f t="shared" si="0"/>
        <v>0</v>
      </c>
    </row>
    <row r="9" spans="1:19" x14ac:dyDescent="0.2">
      <c r="A9" s="32" t="s">
        <v>217</v>
      </c>
      <c r="B9" s="37" t="s">
        <v>218</v>
      </c>
      <c r="C9" s="34">
        <v>6100</v>
      </c>
      <c r="D9" s="35">
        <v>6100</v>
      </c>
      <c r="E9" s="100">
        <v>50000</v>
      </c>
      <c r="F9" s="36">
        <v>50000</v>
      </c>
      <c r="G9" s="35">
        <v>50000</v>
      </c>
      <c r="H9" s="35">
        <v>50000</v>
      </c>
      <c r="I9" s="35">
        <v>0</v>
      </c>
      <c r="J9" s="242">
        <v>0</v>
      </c>
      <c r="K9" s="241"/>
      <c r="M9" s="30"/>
      <c r="N9" s="31">
        <f t="shared" si="0"/>
        <v>0</v>
      </c>
    </row>
    <row r="10" spans="1:19" x14ac:dyDescent="0.2">
      <c r="A10" s="25" t="s">
        <v>214</v>
      </c>
      <c r="B10" s="26" t="s">
        <v>260</v>
      </c>
      <c r="C10" s="27">
        <v>18000</v>
      </c>
      <c r="D10" s="28">
        <v>17000</v>
      </c>
      <c r="E10" s="7">
        <v>18000</v>
      </c>
      <c r="F10" s="29">
        <v>14243.45</v>
      </c>
      <c r="G10" s="28">
        <v>14530</v>
      </c>
      <c r="H10" s="28">
        <v>14530</v>
      </c>
      <c r="I10" s="138">
        <v>286.54999999999927</v>
      </c>
      <c r="J10" s="243">
        <v>2.011801915968392E-2</v>
      </c>
      <c r="K10" s="241"/>
      <c r="M10" s="30"/>
      <c r="N10" s="31">
        <f t="shared" si="0"/>
        <v>0</v>
      </c>
    </row>
    <row r="11" spans="1:19" x14ac:dyDescent="0.2">
      <c r="A11" s="32" t="s">
        <v>269</v>
      </c>
      <c r="B11" s="37" t="s">
        <v>257</v>
      </c>
      <c r="C11" s="34"/>
      <c r="D11" s="35">
        <v>0</v>
      </c>
      <c r="E11" s="100"/>
      <c r="F11" s="36">
        <v>14000</v>
      </c>
      <c r="G11" s="35">
        <v>14420</v>
      </c>
      <c r="H11" s="35">
        <v>14420</v>
      </c>
      <c r="I11" s="137">
        <v>420</v>
      </c>
      <c r="J11" s="244">
        <v>3.0000000000000027E-2</v>
      </c>
      <c r="K11" s="241"/>
      <c r="M11" s="30"/>
      <c r="N11" s="31">
        <f t="shared" si="0"/>
        <v>0</v>
      </c>
    </row>
    <row r="12" spans="1:19" x14ac:dyDescent="0.2">
      <c r="A12" s="5" t="s">
        <v>283</v>
      </c>
      <c r="B12" s="5" t="s">
        <v>228</v>
      </c>
      <c r="C12" s="27">
        <v>0</v>
      </c>
      <c r="D12" s="28">
        <v>100</v>
      </c>
      <c r="E12" s="7">
        <v>0</v>
      </c>
      <c r="F12" s="29">
        <v>0</v>
      </c>
      <c r="G12" s="28">
        <v>0</v>
      </c>
      <c r="H12" s="28">
        <v>0</v>
      </c>
      <c r="I12" s="138">
        <v>0</v>
      </c>
      <c r="J12" s="245"/>
      <c r="K12" s="241"/>
      <c r="M12" s="30"/>
      <c r="N12" s="31">
        <f t="shared" si="0"/>
        <v>0</v>
      </c>
    </row>
    <row r="13" spans="1:19" x14ac:dyDescent="0.2">
      <c r="A13" s="32" t="s">
        <v>219</v>
      </c>
      <c r="B13" s="37" t="s">
        <v>220</v>
      </c>
      <c r="C13" s="34">
        <v>2900</v>
      </c>
      <c r="D13" s="35">
        <v>2900</v>
      </c>
      <c r="E13" s="100">
        <v>3100</v>
      </c>
      <c r="F13" s="36">
        <v>3000</v>
      </c>
      <c r="G13" s="35">
        <v>3000</v>
      </c>
      <c r="H13" s="35">
        <v>3000</v>
      </c>
      <c r="I13" s="137">
        <v>0</v>
      </c>
      <c r="J13" s="244">
        <v>0</v>
      </c>
      <c r="K13" s="241"/>
      <c r="M13" s="30"/>
      <c r="N13" s="31">
        <f t="shared" si="0"/>
        <v>0</v>
      </c>
    </row>
    <row r="14" spans="1:19" x14ac:dyDescent="0.2">
      <c r="A14" s="25" t="s">
        <v>281</v>
      </c>
      <c r="B14" s="26" t="s">
        <v>104</v>
      </c>
      <c r="C14" s="27">
        <v>1000</v>
      </c>
      <c r="D14" s="28">
        <v>1000</v>
      </c>
      <c r="E14" s="7">
        <v>1000</v>
      </c>
      <c r="F14" s="29">
        <v>1000</v>
      </c>
      <c r="G14" s="28">
        <v>1000</v>
      </c>
      <c r="H14" s="28">
        <v>1000</v>
      </c>
      <c r="I14" s="138">
        <v>0</v>
      </c>
      <c r="J14" s="245">
        <v>0</v>
      </c>
      <c r="K14" s="241"/>
      <c r="M14" s="30"/>
      <c r="N14" s="31">
        <f t="shared" si="0"/>
        <v>0</v>
      </c>
    </row>
    <row r="15" spans="1:19" ht="15" x14ac:dyDescent="0.25">
      <c r="A15" s="32" t="s">
        <v>105</v>
      </c>
      <c r="B15" s="37" t="s">
        <v>211</v>
      </c>
      <c r="C15" s="34">
        <v>261</v>
      </c>
      <c r="D15" s="35">
        <v>261</v>
      </c>
      <c r="E15" s="102">
        <v>261</v>
      </c>
      <c r="F15" s="36">
        <v>261</v>
      </c>
      <c r="G15" s="35">
        <v>275.7</v>
      </c>
      <c r="H15" s="35">
        <v>275.7</v>
      </c>
      <c r="I15" s="137">
        <v>14.699999999999989</v>
      </c>
      <c r="J15" s="244">
        <v>5.6321839080459624E-2</v>
      </c>
      <c r="K15" s="241"/>
      <c r="M15" s="30"/>
      <c r="N15" s="31">
        <f t="shared" si="0"/>
        <v>0</v>
      </c>
    </row>
    <row r="16" spans="1:19" ht="15" x14ac:dyDescent="0.25">
      <c r="A16" s="38"/>
      <c r="B16" s="43" t="s">
        <v>103</v>
      </c>
      <c r="C16" s="39">
        <v>1261</v>
      </c>
      <c r="D16" s="93">
        <v>32745.409250000001</v>
      </c>
      <c r="E16" s="101">
        <v>1261</v>
      </c>
      <c r="F16" s="40">
        <v>88203.46</v>
      </c>
      <c r="G16" s="41">
        <v>88957.68</v>
      </c>
      <c r="H16" s="41">
        <v>88946.690199999997</v>
      </c>
      <c r="I16" s="139">
        <v>743.23019999999929</v>
      </c>
      <c r="J16" s="245">
        <v>8.4263157023545254E-3</v>
      </c>
      <c r="K16" s="241"/>
      <c r="M16" s="30"/>
      <c r="N16" s="31">
        <f t="shared" si="0"/>
        <v>0</v>
      </c>
    </row>
    <row r="17" spans="1:14" ht="15" x14ac:dyDescent="0.25">
      <c r="A17" s="22" t="s">
        <v>250</v>
      </c>
      <c r="B17" s="23"/>
      <c r="C17" s="23"/>
      <c r="D17" s="24"/>
      <c r="E17" s="23"/>
      <c r="F17" s="24"/>
      <c r="G17" s="24"/>
      <c r="H17" s="24"/>
      <c r="I17" s="140"/>
      <c r="J17" s="245"/>
      <c r="K17" s="241"/>
      <c r="M17" s="30"/>
      <c r="N17" s="31">
        <f t="shared" si="0"/>
        <v>0</v>
      </c>
    </row>
    <row r="18" spans="1:14" x14ac:dyDescent="0.2">
      <c r="A18" s="25" t="s">
        <v>97</v>
      </c>
      <c r="B18" s="73" t="s">
        <v>98</v>
      </c>
      <c r="C18" s="27">
        <v>1142.5899999999999</v>
      </c>
      <c r="D18" s="28">
        <v>1142.5899999999999</v>
      </c>
      <c r="E18" s="7">
        <v>1200</v>
      </c>
      <c r="F18" s="29">
        <v>1142.5899999999999</v>
      </c>
      <c r="G18" s="28">
        <v>1176.8699999999999</v>
      </c>
      <c r="H18" s="28">
        <v>1165.4417999999998</v>
      </c>
      <c r="I18" s="138">
        <v>22.851799999999912</v>
      </c>
      <c r="J18" s="245">
        <v>2.0000000000000018E-2</v>
      </c>
      <c r="K18" s="241"/>
      <c r="M18" s="30" t="s">
        <v>209</v>
      </c>
      <c r="N18" s="31">
        <f>ROUND(IF(M18="Y",F18*$P$1,0),2)</f>
        <v>22.85</v>
      </c>
    </row>
    <row r="19" spans="1:14" x14ac:dyDescent="0.2">
      <c r="A19" s="32" t="s">
        <v>101</v>
      </c>
      <c r="B19" s="37" t="s">
        <v>102</v>
      </c>
      <c r="C19" s="34">
        <v>29060.93</v>
      </c>
      <c r="D19" s="35">
        <v>28230.621600000002</v>
      </c>
      <c r="E19" s="100">
        <v>29077.54</v>
      </c>
      <c r="F19" s="36">
        <v>28654.080000000002</v>
      </c>
      <c r="G19" s="35">
        <v>29513.7</v>
      </c>
      <c r="H19" s="35">
        <v>29227.161600000003</v>
      </c>
      <c r="I19" s="137">
        <v>573.08160000000134</v>
      </c>
      <c r="J19" s="244">
        <v>2.0000000000000018E-2</v>
      </c>
      <c r="K19" s="241"/>
      <c r="M19" s="30" t="s">
        <v>209</v>
      </c>
      <c r="N19" s="31">
        <f>ROUND(IF(M19="Y",F19*$P$1,0),2)</f>
        <v>573.08000000000004</v>
      </c>
    </row>
    <row r="20" spans="1:14" x14ac:dyDescent="0.2">
      <c r="A20" s="25" t="s">
        <v>268</v>
      </c>
      <c r="B20" s="26" t="s">
        <v>16</v>
      </c>
      <c r="C20" s="27"/>
      <c r="D20" s="28">
        <v>0</v>
      </c>
      <c r="E20" s="7"/>
      <c r="F20" s="29">
        <v>500</v>
      </c>
      <c r="G20" s="28">
        <v>0</v>
      </c>
      <c r="H20" s="28">
        <v>0</v>
      </c>
      <c r="I20" s="138">
        <v>-500</v>
      </c>
      <c r="J20" s="245">
        <v>-1</v>
      </c>
      <c r="K20" s="241"/>
      <c r="M20" s="30"/>
      <c r="N20" s="31">
        <f>ROUND(IF(M20="Y",F20*$P$1,0),2)</f>
        <v>0</v>
      </c>
    </row>
    <row r="21" spans="1:14" x14ac:dyDescent="0.2">
      <c r="A21" s="32" t="s">
        <v>212</v>
      </c>
      <c r="B21" s="37" t="s">
        <v>213</v>
      </c>
      <c r="C21" s="34">
        <v>20000</v>
      </c>
      <c r="D21" s="35">
        <v>15000</v>
      </c>
      <c r="E21" s="100">
        <v>15000</v>
      </c>
      <c r="F21" s="36">
        <v>15000</v>
      </c>
      <c r="G21" s="35">
        <v>15000</v>
      </c>
      <c r="H21" s="35">
        <v>15000</v>
      </c>
      <c r="I21" s="137">
        <v>0</v>
      </c>
      <c r="J21" s="244">
        <v>0</v>
      </c>
      <c r="K21" s="241"/>
      <c r="M21" s="30"/>
      <c r="N21" s="31">
        <f>ROUND(IF(M21="Y",F21*$P$1,0),2)</f>
        <v>0</v>
      </c>
    </row>
    <row r="22" spans="1:14" x14ac:dyDescent="0.2">
      <c r="A22" s="25" t="s">
        <v>99</v>
      </c>
      <c r="B22" s="26" t="s">
        <v>100</v>
      </c>
      <c r="C22" s="27">
        <v>1500</v>
      </c>
      <c r="D22" s="28">
        <v>1500</v>
      </c>
      <c r="E22" s="7">
        <v>2500</v>
      </c>
      <c r="F22" s="29">
        <v>1500</v>
      </c>
      <c r="G22" s="28">
        <v>1500</v>
      </c>
      <c r="H22" s="28">
        <v>1500</v>
      </c>
      <c r="I22" s="138">
        <v>0</v>
      </c>
      <c r="J22" s="245">
        <v>0</v>
      </c>
      <c r="K22" s="241"/>
      <c r="M22" s="30"/>
      <c r="N22" s="31">
        <f>ROUND(IF(M22="Y",F22*$P$1,0),2)</f>
        <v>0</v>
      </c>
    </row>
    <row r="23" spans="1:14" ht="15" x14ac:dyDescent="0.25">
      <c r="A23" s="1"/>
      <c r="B23" s="1" t="s">
        <v>103</v>
      </c>
      <c r="C23" s="39">
        <v>108778.06</v>
      </c>
      <c r="D23" s="93">
        <v>45873.211600000002</v>
      </c>
      <c r="E23" s="101">
        <v>146202.51</v>
      </c>
      <c r="F23" s="40">
        <v>46796.67</v>
      </c>
      <c r="G23" s="41">
        <v>47190.57</v>
      </c>
      <c r="H23" s="41">
        <v>46892.603400000007</v>
      </c>
      <c r="I23" s="139">
        <v>95.933400000001257</v>
      </c>
      <c r="J23" s="245">
        <v>2.0500048400882154E-3</v>
      </c>
      <c r="K23" s="241"/>
      <c r="M23" s="30"/>
      <c r="N23" s="31">
        <f t="shared" si="0"/>
        <v>0</v>
      </c>
    </row>
    <row r="24" spans="1:14" ht="15" x14ac:dyDescent="0.25">
      <c r="A24" s="46" t="s">
        <v>251</v>
      </c>
      <c r="B24" s="61"/>
      <c r="C24" s="48"/>
      <c r="D24" s="49"/>
      <c r="E24" s="48"/>
      <c r="F24" s="50"/>
      <c r="G24" s="50"/>
      <c r="H24" s="50"/>
      <c r="I24" s="141"/>
      <c r="J24" s="246"/>
      <c r="K24" s="241"/>
      <c r="M24" s="30"/>
      <c r="N24" s="31">
        <f t="shared" si="0"/>
        <v>0</v>
      </c>
    </row>
    <row r="25" spans="1:14" x14ac:dyDescent="0.2">
      <c r="A25" s="51" t="s">
        <v>30</v>
      </c>
      <c r="B25" s="52" t="s">
        <v>31</v>
      </c>
      <c r="C25" s="27">
        <v>16278.84</v>
      </c>
      <c r="D25" s="28">
        <v>15891.251499999998</v>
      </c>
      <c r="E25" s="7">
        <v>16367.99</v>
      </c>
      <c r="F25" s="29">
        <v>16129.62</v>
      </c>
      <c r="G25" s="28">
        <v>16613.5</v>
      </c>
      <c r="H25" s="28">
        <v>16452.2124</v>
      </c>
      <c r="I25" s="138">
        <v>322.59239999999954</v>
      </c>
      <c r="J25" s="245">
        <v>2.0000000000000018E-2</v>
      </c>
      <c r="K25" s="241"/>
      <c r="M25" s="30" t="s">
        <v>209</v>
      </c>
      <c r="N25" s="31">
        <f t="shared" si="0"/>
        <v>322.58999999999997</v>
      </c>
    </row>
    <row r="26" spans="1:14" x14ac:dyDescent="0.2">
      <c r="A26" s="53" t="s">
        <v>32</v>
      </c>
      <c r="B26" s="54" t="s">
        <v>33</v>
      </c>
      <c r="C26" s="34">
        <v>5680.04</v>
      </c>
      <c r="D26" s="35">
        <v>5544.799</v>
      </c>
      <c r="E26" s="100">
        <v>5824</v>
      </c>
      <c r="F26" s="36">
        <v>5627.97</v>
      </c>
      <c r="G26" s="35">
        <v>5380.47</v>
      </c>
      <c r="H26" s="35">
        <v>5488.0794000000005</v>
      </c>
      <c r="I26" s="137">
        <v>-139.89059999999972</v>
      </c>
      <c r="J26" s="244">
        <v>-2.4856315865223078E-2</v>
      </c>
      <c r="K26" s="241"/>
      <c r="M26" s="30" t="s">
        <v>209</v>
      </c>
      <c r="N26" s="31">
        <f t="shared" si="0"/>
        <v>112.56</v>
      </c>
    </row>
    <row r="27" spans="1:14" x14ac:dyDescent="0.2">
      <c r="A27" s="51" t="s">
        <v>36</v>
      </c>
      <c r="B27" s="52" t="s">
        <v>37</v>
      </c>
      <c r="C27" s="27">
        <v>7275</v>
      </c>
      <c r="D27" s="28">
        <v>7275</v>
      </c>
      <c r="E27" s="7">
        <v>8000</v>
      </c>
      <c r="F27" s="29">
        <v>8000</v>
      </c>
      <c r="G27" s="28">
        <v>8500</v>
      </c>
      <c r="H27" s="28">
        <v>8500</v>
      </c>
      <c r="I27" s="138">
        <v>500</v>
      </c>
      <c r="J27" s="245">
        <v>6.25E-2</v>
      </c>
      <c r="K27" s="241"/>
      <c r="M27" s="30"/>
      <c r="N27" s="31">
        <f>ROUND(IF(M27="Y",F27*$P$1,0),2)</f>
        <v>0</v>
      </c>
    </row>
    <row r="28" spans="1:14" x14ac:dyDescent="0.2">
      <c r="A28" s="53" t="s">
        <v>34</v>
      </c>
      <c r="B28" s="54" t="s">
        <v>35</v>
      </c>
      <c r="C28" s="34">
        <v>4252.5</v>
      </c>
      <c r="D28" s="35">
        <v>4252.5</v>
      </c>
      <c r="E28" s="100">
        <v>4465</v>
      </c>
      <c r="F28" s="36">
        <v>4252.5</v>
      </c>
      <c r="G28" s="35">
        <v>4500</v>
      </c>
      <c r="H28" s="35">
        <v>4500</v>
      </c>
      <c r="I28" s="137">
        <v>247.5</v>
      </c>
      <c r="J28" s="244">
        <v>5.8201058201058142E-2</v>
      </c>
      <c r="K28" s="241"/>
      <c r="M28" s="30"/>
      <c r="N28" s="31">
        <f t="shared" si="0"/>
        <v>0</v>
      </c>
    </row>
    <row r="29" spans="1:14" ht="15" x14ac:dyDescent="0.25">
      <c r="A29" s="38"/>
      <c r="B29" s="43" t="s">
        <v>103</v>
      </c>
      <c r="C29" s="39">
        <v>33486.380000000005</v>
      </c>
      <c r="D29" s="93">
        <v>32963.550499999998</v>
      </c>
      <c r="E29" s="101">
        <v>34656.99</v>
      </c>
      <c r="F29" s="40">
        <v>34010.089999999997</v>
      </c>
      <c r="G29" s="41">
        <v>34993.97</v>
      </c>
      <c r="H29" s="41">
        <v>34940.291799999999</v>
      </c>
      <c r="I29" s="139">
        <v>930.20179999999982</v>
      </c>
      <c r="J29" s="245">
        <v>2.7350759730421226E-2</v>
      </c>
      <c r="K29" s="241"/>
      <c r="M29" s="30"/>
      <c r="N29" s="31">
        <f t="shared" si="0"/>
        <v>0</v>
      </c>
    </row>
    <row r="30" spans="1:14" ht="15" x14ac:dyDescent="0.25">
      <c r="A30" s="46" t="s">
        <v>286</v>
      </c>
      <c r="B30" s="47"/>
      <c r="C30" s="48"/>
      <c r="D30" s="49"/>
      <c r="E30" s="48"/>
      <c r="F30" s="50"/>
      <c r="G30" s="50"/>
      <c r="H30" s="50"/>
      <c r="I30" s="141"/>
      <c r="J30" s="246"/>
      <c r="K30" s="241"/>
      <c r="M30" s="30"/>
      <c r="N30" s="31">
        <f t="shared" si="0"/>
        <v>0</v>
      </c>
    </row>
    <row r="31" spans="1:14" ht="15" x14ac:dyDescent="0.25">
      <c r="A31" s="51" t="s">
        <v>229</v>
      </c>
      <c r="B31" s="52" t="s">
        <v>230</v>
      </c>
      <c r="C31" s="27">
        <v>100</v>
      </c>
      <c r="D31" s="28">
        <v>100</v>
      </c>
      <c r="E31" s="101">
        <v>100</v>
      </c>
      <c r="F31" s="29">
        <v>200</v>
      </c>
      <c r="G31" s="28">
        <v>200</v>
      </c>
      <c r="H31" s="28">
        <v>200</v>
      </c>
      <c r="I31" s="138">
        <v>0</v>
      </c>
      <c r="J31" s="245">
        <v>0</v>
      </c>
      <c r="K31" s="241"/>
      <c r="M31" s="30"/>
      <c r="N31" s="31">
        <f t="shared" si="0"/>
        <v>0</v>
      </c>
    </row>
    <row r="32" spans="1:14" x14ac:dyDescent="0.2">
      <c r="A32" s="53" t="s">
        <v>231</v>
      </c>
      <c r="B32" s="54" t="s">
        <v>232</v>
      </c>
      <c r="C32" s="34"/>
      <c r="D32" s="35">
        <v>31650</v>
      </c>
      <c r="E32" s="100">
        <v>31650</v>
      </c>
      <c r="F32" s="36">
        <v>32000</v>
      </c>
      <c r="G32" s="35">
        <v>32000</v>
      </c>
      <c r="H32" s="35">
        <v>34468.79</v>
      </c>
      <c r="I32" s="137">
        <v>2468.7900000000009</v>
      </c>
      <c r="J32" s="244">
        <v>7.7149687499999953E-2</v>
      </c>
      <c r="K32" s="241"/>
      <c r="M32" s="30"/>
      <c r="N32" s="31">
        <f t="shared" si="0"/>
        <v>0</v>
      </c>
    </row>
    <row r="33" spans="1:14" ht="15" x14ac:dyDescent="0.25">
      <c r="A33" s="38"/>
      <c r="B33" s="1" t="s">
        <v>103</v>
      </c>
      <c r="C33" s="39">
        <v>100</v>
      </c>
      <c r="D33" s="93">
        <v>31750</v>
      </c>
      <c r="E33" s="101">
        <v>31750</v>
      </c>
      <c r="F33" s="40">
        <v>32200</v>
      </c>
      <c r="G33" s="41">
        <v>32200</v>
      </c>
      <c r="H33" s="41">
        <v>34668.79</v>
      </c>
      <c r="I33" s="139">
        <v>2468.7900000000009</v>
      </c>
      <c r="J33" s="245">
        <v>7.6670496894409856E-2</v>
      </c>
      <c r="K33" s="241"/>
      <c r="M33" s="30"/>
      <c r="N33" s="31">
        <f t="shared" si="0"/>
        <v>0</v>
      </c>
    </row>
    <row r="34" spans="1:14" ht="15" x14ac:dyDescent="0.25">
      <c r="A34" s="46" t="s">
        <v>287</v>
      </c>
      <c r="B34" s="47"/>
      <c r="C34" s="48"/>
      <c r="D34" s="49"/>
      <c r="E34" s="48"/>
      <c r="F34" s="50"/>
      <c r="G34" s="50"/>
      <c r="H34" s="50"/>
      <c r="I34" s="141"/>
      <c r="J34" s="246"/>
      <c r="K34" s="241"/>
      <c r="M34" s="30"/>
      <c r="N34" s="31">
        <f t="shared" si="0"/>
        <v>0</v>
      </c>
    </row>
    <row r="35" spans="1:14" x14ac:dyDescent="0.2">
      <c r="A35" s="25" t="s">
        <v>233</v>
      </c>
      <c r="B35" s="52" t="s">
        <v>234</v>
      </c>
      <c r="C35" s="27">
        <v>16892</v>
      </c>
      <c r="D35" s="28">
        <v>17060.919999999998</v>
      </c>
      <c r="E35" s="7">
        <v>17914</v>
      </c>
      <c r="F35" s="29">
        <v>17316.830000000002</v>
      </c>
      <c r="G35" s="28">
        <v>17750</v>
      </c>
      <c r="H35" s="28">
        <v>17663.1666</v>
      </c>
      <c r="I35" s="138">
        <v>346.33659999999873</v>
      </c>
      <c r="J35" s="245">
        <v>2.0000000000000018E-2</v>
      </c>
      <c r="K35" s="241"/>
      <c r="M35" s="30" t="s">
        <v>209</v>
      </c>
      <c r="N35" s="31">
        <f t="shared" si="0"/>
        <v>346.34</v>
      </c>
    </row>
    <row r="36" spans="1:14" x14ac:dyDescent="0.2">
      <c r="A36" s="53" t="s">
        <v>235</v>
      </c>
      <c r="B36" s="54" t="s">
        <v>316</v>
      </c>
      <c r="C36" s="34">
        <v>100</v>
      </c>
      <c r="D36" s="35">
        <v>100</v>
      </c>
      <c r="E36" s="100">
        <v>100</v>
      </c>
      <c r="F36" s="36">
        <v>100</v>
      </c>
      <c r="G36" s="35">
        <v>1000</v>
      </c>
      <c r="H36" s="35">
        <v>1020</v>
      </c>
      <c r="I36" s="137">
        <v>920</v>
      </c>
      <c r="J36" s="244">
        <v>9.1999999999999993</v>
      </c>
      <c r="K36" s="241"/>
      <c r="M36" s="30" t="s">
        <v>209</v>
      </c>
      <c r="N36" s="31">
        <f t="shared" si="0"/>
        <v>2</v>
      </c>
    </row>
    <row r="37" spans="1:14" ht="15" x14ac:dyDescent="0.25">
      <c r="A37" s="25" t="s">
        <v>238</v>
      </c>
      <c r="B37" s="52" t="s">
        <v>239</v>
      </c>
      <c r="C37" s="27">
        <v>2500</v>
      </c>
      <c r="D37" s="28">
        <v>2500</v>
      </c>
      <c r="E37" s="101">
        <v>2500</v>
      </c>
      <c r="F37" s="29">
        <v>2500</v>
      </c>
      <c r="G37" s="28">
        <v>0</v>
      </c>
      <c r="H37" s="28">
        <v>0</v>
      </c>
      <c r="I37" s="138">
        <v>-2500</v>
      </c>
      <c r="J37" s="245">
        <v>-1</v>
      </c>
      <c r="K37" s="241"/>
      <c r="M37" s="30"/>
      <c r="N37" s="31">
        <f>ROUND(IF(M37="Y",F37*$P$1,0),2)</f>
        <v>0</v>
      </c>
    </row>
    <row r="38" spans="1:14" x14ac:dyDescent="0.2">
      <c r="A38" s="32" t="s">
        <v>236</v>
      </c>
      <c r="B38" s="37" t="s">
        <v>237</v>
      </c>
      <c r="C38" s="34">
        <v>1350</v>
      </c>
      <c r="D38" s="35">
        <v>1350</v>
      </c>
      <c r="E38" s="100">
        <v>1350</v>
      </c>
      <c r="F38" s="36">
        <v>1350</v>
      </c>
      <c r="G38" s="35">
        <v>1350</v>
      </c>
      <c r="H38" s="35">
        <v>1350</v>
      </c>
      <c r="I38" s="137">
        <v>0</v>
      </c>
      <c r="J38" s="244">
        <v>0</v>
      </c>
      <c r="K38" s="241"/>
      <c r="M38" s="30"/>
      <c r="N38" s="31">
        <f t="shared" si="0"/>
        <v>0</v>
      </c>
    </row>
    <row r="39" spans="1:14" x14ac:dyDescent="0.2">
      <c r="A39" s="25" t="s">
        <v>240</v>
      </c>
      <c r="B39" s="26" t="s">
        <v>1</v>
      </c>
      <c r="C39" s="27">
        <v>8020</v>
      </c>
      <c r="D39" s="28">
        <v>8020</v>
      </c>
      <c r="E39" s="7">
        <v>8020</v>
      </c>
      <c r="F39" s="29">
        <v>8020</v>
      </c>
      <c r="G39" s="28">
        <v>8161.08</v>
      </c>
      <c r="H39" s="28">
        <v>8161.08</v>
      </c>
      <c r="I39" s="138">
        <v>141.07999999999993</v>
      </c>
      <c r="J39" s="245">
        <v>1.7591022443890214E-2</v>
      </c>
      <c r="K39" s="241"/>
      <c r="M39" s="30"/>
      <c r="N39" s="31">
        <f t="shared" si="0"/>
        <v>0</v>
      </c>
    </row>
    <row r="40" spans="1:14" x14ac:dyDescent="0.2">
      <c r="A40" s="32" t="s">
        <v>171</v>
      </c>
      <c r="B40" s="37" t="s">
        <v>172</v>
      </c>
      <c r="C40" s="34">
        <v>2000</v>
      </c>
      <c r="D40" s="35">
        <v>0</v>
      </c>
      <c r="E40" s="100">
        <v>1000</v>
      </c>
      <c r="F40" s="36">
        <v>1000</v>
      </c>
      <c r="G40" s="35">
        <v>0</v>
      </c>
      <c r="H40" s="35">
        <v>0</v>
      </c>
      <c r="I40" s="137">
        <v>-1000</v>
      </c>
      <c r="J40" s="244">
        <v>-1</v>
      </c>
      <c r="K40" s="241"/>
      <c r="M40" s="30"/>
      <c r="N40" s="31">
        <f t="shared" si="0"/>
        <v>0</v>
      </c>
    </row>
    <row r="41" spans="1:14" ht="15" x14ac:dyDescent="0.25">
      <c r="A41" s="57"/>
      <c r="B41" s="58" t="s">
        <v>103</v>
      </c>
      <c r="C41" s="59">
        <v>28862</v>
      </c>
      <c r="D41" s="94">
        <v>29030.92</v>
      </c>
      <c r="E41" s="102">
        <v>30884</v>
      </c>
      <c r="F41" s="56">
        <v>30286.83</v>
      </c>
      <c r="G41" s="42">
        <v>28261.08</v>
      </c>
      <c r="H41" s="42">
        <v>28194.246599999999</v>
      </c>
      <c r="I41" s="142">
        <v>-2092.5834000000013</v>
      </c>
      <c r="J41" s="245">
        <v>-6.9092189575469032E-2</v>
      </c>
      <c r="K41" s="241"/>
      <c r="M41" s="30"/>
      <c r="N41" s="31">
        <f t="shared" si="0"/>
        <v>0</v>
      </c>
    </row>
    <row r="42" spans="1:14" ht="15" x14ac:dyDescent="0.25">
      <c r="A42" s="46" t="s">
        <v>288</v>
      </c>
      <c r="B42" s="47"/>
      <c r="C42" s="48"/>
      <c r="D42" s="49"/>
      <c r="E42" s="48"/>
      <c r="F42" s="50"/>
      <c r="G42" s="50"/>
      <c r="H42" s="50"/>
      <c r="I42" s="141"/>
      <c r="J42" s="246"/>
      <c r="K42" s="241"/>
      <c r="M42" s="30"/>
      <c r="N42" s="31">
        <f t="shared" si="0"/>
        <v>0</v>
      </c>
    </row>
    <row r="43" spans="1:14" x14ac:dyDescent="0.2">
      <c r="A43" s="25" t="s">
        <v>241</v>
      </c>
      <c r="B43" s="26" t="s">
        <v>242</v>
      </c>
      <c r="C43" s="27">
        <v>7170</v>
      </c>
      <c r="D43" s="28">
        <v>7422.7424999999994</v>
      </c>
      <c r="E43" s="7">
        <v>7422.74</v>
      </c>
      <c r="F43" s="29">
        <v>7534.08</v>
      </c>
      <c r="G43" s="28">
        <v>7647.09</v>
      </c>
      <c r="H43" s="28">
        <v>7684.7615999999998</v>
      </c>
      <c r="I43" s="138">
        <v>150.68159999999989</v>
      </c>
      <c r="J43" s="245">
        <v>2.0000000000000018E-2</v>
      </c>
      <c r="K43" s="241"/>
      <c r="M43" s="30" t="s">
        <v>209</v>
      </c>
      <c r="N43" s="31">
        <f t="shared" si="0"/>
        <v>150.68</v>
      </c>
    </row>
    <row r="44" spans="1:14" x14ac:dyDescent="0.2">
      <c r="A44" s="32" t="s">
        <v>243</v>
      </c>
      <c r="B44" s="37" t="s">
        <v>244</v>
      </c>
      <c r="C44" s="34">
        <v>7170</v>
      </c>
      <c r="D44" s="35">
        <v>7422.7424999999994</v>
      </c>
      <c r="E44" s="100">
        <v>7422.74</v>
      </c>
      <c r="F44" s="36">
        <v>7534.08</v>
      </c>
      <c r="G44" s="35">
        <v>7647.09</v>
      </c>
      <c r="H44" s="35">
        <v>7684.7615999999998</v>
      </c>
      <c r="I44" s="137">
        <v>150.68159999999989</v>
      </c>
      <c r="J44" s="244">
        <v>2.0000000000000018E-2</v>
      </c>
      <c r="K44" s="241"/>
      <c r="M44" s="30" t="s">
        <v>209</v>
      </c>
      <c r="N44" s="31">
        <f t="shared" si="0"/>
        <v>150.68</v>
      </c>
    </row>
    <row r="45" spans="1:14" x14ac:dyDescent="0.2">
      <c r="A45" s="25" t="s">
        <v>245</v>
      </c>
      <c r="B45" s="26" t="s">
        <v>150</v>
      </c>
      <c r="C45" s="27">
        <v>7170</v>
      </c>
      <c r="D45" s="28">
        <v>7422.7424999999994</v>
      </c>
      <c r="E45" s="7">
        <v>7422.74</v>
      </c>
      <c r="F45" s="29">
        <v>7534.08</v>
      </c>
      <c r="G45" s="28">
        <v>7647.09</v>
      </c>
      <c r="H45" s="28">
        <v>7684.7615999999998</v>
      </c>
      <c r="I45" s="138">
        <v>150.68159999999989</v>
      </c>
      <c r="J45" s="245">
        <v>2.0000000000000018E-2</v>
      </c>
      <c r="K45" s="241"/>
      <c r="M45" s="30" t="s">
        <v>209</v>
      </c>
      <c r="N45" s="31">
        <f t="shared" si="0"/>
        <v>150.68</v>
      </c>
    </row>
    <row r="46" spans="1:14" x14ac:dyDescent="0.2">
      <c r="A46" s="32" t="s">
        <v>153</v>
      </c>
      <c r="B46" s="37" t="s">
        <v>154</v>
      </c>
      <c r="C46" s="34">
        <v>7000</v>
      </c>
      <c r="D46" s="35">
        <v>7000</v>
      </c>
      <c r="E46" s="100">
        <v>500</v>
      </c>
      <c r="F46" s="36">
        <v>500</v>
      </c>
      <c r="G46" s="35">
        <v>500</v>
      </c>
      <c r="H46" s="35">
        <v>500</v>
      </c>
      <c r="I46" s="137">
        <v>0</v>
      </c>
      <c r="J46" s="244">
        <v>0</v>
      </c>
      <c r="K46" s="241"/>
      <c r="M46" s="30"/>
      <c r="N46" s="31">
        <f>ROUND(IF(M46="Y",F46*$P$1,0),2)</f>
        <v>0</v>
      </c>
    </row>
    <row r="47" spans="1:14" ht="15" x14ac:dyDescent="0.25">
      <c r="A47" s="25" t="s">
        <v>151</v>
      </c>
      <c r="B47" s="26" t="s">
        <v>152</v>
      </c>
      <c r="C47" s="27">
        <v>4905</v>
      </c>
      <c r="D47" s="28">
        <v>4905</v>
      </c>
      <c r="E47" s="101">
        <v>4905</v>
      </c>
      <c r="F47" s="29">
        <v>4905</v>
      </c>
      <c r="G47" s="28">
        <v>5105</v>
      </c>
      <c r="H47" s="28">
        <v>5105</v>
      </c>
      <c r="I47" s="138">
        <v>200</v>
      </c>
      <c r="J47" s="245">
        <v>4.0774719673802196E-2</v>
      </c>
      <c r="K47" s="241"/>
      <c r="M47" s="30"/>
      <c r="N47" s="31">
        <f t="shared" si="0"/>
        <v>0</v>
      </c>
    </row>
    <row r="48" spans="1:14" ht="15" x14ac:dyDescent="0.25">
      <c r="A48" s="57"/>
      <c r="B48" s="60" t="s">
        <v>103</v>
      </c>
      <c r="C48" s="59">
        <v>33415</v>
      </c>
      <c r="D48" s="94">
        <v>34173.227499999994</v>
      </c>
      <c r="E48" s="102">
        <v>27673.22</v>
      </c>
      <c r="F48" s="56">
        <v>28007.239999999998</v>
      </c>
      <c r="G48" s="42">
        <v>28546.27</v>
      </c>
      <c r="H48" s="42">
        <v>28659.284800000001</v>
      </c>
      <c r="I48" s="142">
        <v>652.04479999999967</v>
      </c>
      <c r="J48" s="245">
        <v>2.3281294408160402E-2</v>
      </c>
      <c r="K48" s="241"/>
      <c r="M48" s="30"/>
      <c r="N48" s="31">
        <f t="shared" si="0"/>
        <v>0</v>
      </c>
    </row>
    <row r="49" spans="1:14" ht="15" x14ac:dyDescent="0.25">
      <c r="A49" s="46" t="s">
        <v>289</v>
      </c>
      <c r="B49" s="61"/>
      <c r="C49" s="48"/>
      <c r="D49" s="49"/>
      <c r="E49" s="48"/>
      <c r="F49" s="50"/>
      <c r="G49" s="50"/>
      <c r="H49" s="50"/>
      <c r="I49" s="141"/>
      <c r="J49" s="246"/>
      <c r="K49" s="241"/>
      <c r="M49" s="30"/>
      <c r="N49" s="31">
        <f t="shared" si="0"/>
        <v>0</v>
      </c>
    </row>
    <row r="50" spans="1:14" x14ac:dyDescent="0.2">
      <c r="A50" s="51" t="s">
        <v>157</v>
      </c>
      <c r="B50" s="52" t="s">
        <v>158</v>
      </c>
      <c r="C50" s="27">
        <v>18121.740000000002</v>
      </c>
      <c r="D50" s="28">
        <v>17690.269999999997</v>
      </c>
      <c r="E50" s="7">
        <v>18220.98</v>
      </c>
      <c r="F50" s="29">
        <v>17955.62</v>
      </c>
      <c r="G50" s="28">
        <v>17955.62</v>
      </c>
      <c r="H50" s="28">
        <v>18314.739999999998</v>
      </c>
      <c r="I50" s="138">
        <v>359.11999999999898</v>
      </c>
      <c r="J50" s="245">
        <v>2.0000423265807532E-2</v>
      </c>
      <c r="K50" s="241"/>
      <c r="M50" s="30" t="s">
        <v>209</v>
      </c>
      <c r="N50" s="31">
        <f t="shared" si="0"/>
        <v>359.11</v>
      </c>
    </row>
    <row r="51" spans="1:14" x14ac:dyDescent="0.2">
      <c r="A51" s="53" t="s">
        <v>159</v>
      </c>
      <c r="B51" s="54" t="s">
        <v>317</v>
      </c>
      <c r="C51" s="34">
        <v>7929.16</v>
      </c>
      <c r="D51" s="35">
        <v>7740.3490000000002</v>
      </c>
      <c r="E51" s="100">
        <v>8153.6</v>
      </c>
      <c r="F51" s="36">
        <v>7856.46</v>
      </c>
      <c r="G51" s="35">
        <v>6870.24</v>
      </c>
      <c r="H51" s="35">
        <v>7007.64</v>
      </c>
      <c r="I51" s="137">
        <v>-848.81999999999971</v>
      </c>
      <c r="J51" s="244">
        <v>-0.10804102611099653</v>
      </c>
      <c r="K51" s="241"/>
      <c r="M51" s="30" t="s">
        <v>209</v>
      </c>
      <c r="N51" s="31">
        <f t="shared" si="0"/>
        <v>157.13</v>
      </c>
    </row>
    <row r="52" spans="1:14" x14ac:dyDescent="0.2">
      <c r="A52" s="2" t="s">
        <v>284</v>
      </c>
      <c r="B52" s="52" t="s">
        <v>164</v>
      </c>
      <c r="C52" s="27">
        <v>1000</v>
      </c>
      <c r="D52" s="28">
        <v>1000</v>
      </c>
      <c r="E52" s="7">
        <v>1000</v>
      </c>
      <c r="F52" s="29">
        <v>1000</v>
      </c>
      <c r="G52" s="28">
        <v>1000</v>
      </c>
      <c r="H52" s="28">
        <v>1000</v>
      </c>
      <c r="I52" s="138">
        <v>0</v>
      </c>
      <c r="J52" s="245">
        <v>0</v>
      </c>
      <c r="K52" s="241"/>
      <c r="M52" s="30"/>
      <c r="N52" s="31">
        <f>ROUND(IF(M52="Y",F52*$P$1,0),2)</f>
        <v>0</v>
      </c>
    </row>
    <row r="53" spans="1:14" x14ac:dyDescent="0.2">
      <c r="A53" s="53" t="s">
        <v>162</v>
      </c>
      <c r="B53" s="54" t="s">
        <v>163</v>
      </c>
      <c r="C53" s="34">
        <v>5000</v>
      </c>
      <c r="D53" s="35">
        <v>5000</v>
      </c>
      <c r="E53" s="100">
        <v>8000</v>
      </c>
      <c r="F53" s="36">
        <v>8000</v>
      </c>
      <c r="G53" s="35">
        <v>12000</v>
      </c>
      <c r="H53" s="35">
        <v>12000</v>
      </c>
      <c r="I53" s="137">
        <v>4000</v>
      </c>
      <c r="J53" s="244">
        <v>0.5</v>
      </c>
      <c r="K53" s="241"/>
      <c r="M53" s="30"/>
      <c r="N53" s="31">
        <f>ROUND(IF(M53="Y",F53*$P$1,0),2)</f>
        <v>0</v>
      </c>
    </row>
    <row r="54" spans="1:14" x14ac:dyDescent="0.2">
      <c r="A54" s="51" t="s">
        <v>155</v>
      </c>
      <c r="B54" s="52" t="s">
        <v>156</v>
      </c>
      <c r="C54" s="27">
        <v>700</v>
      </c>
      <c r="D54" s="28">
        <v>700</v>
      </c>
      <c r="E54" s="7">
        <v>700</v>
      </c>
      <c r="F54" s="29">
        <v>700</v>
      </c>
      <c r="G54" s="28">
        <v>700</v>
      </c>
      <c r="H54" s="28">
        <v>700</v>
      </c>
      <c r="I54" s="138">
        <v>0</v>
      </c>
      <c r="J54" s="245">
        <v>0</v>
      </c>
      <c r="K54" s="241"/>
      <c r="M54" s="30"/>
      <c r="N54" s="31">
        <f>ROUND(IF(M54="Y",F54*$P$1,0),2)</f>
        <v>0</v>
      </c>
    </row>
    <row r="55" spans="1:14" x14ac:dyDescent="0.2">
      <c r="A55" s="53" t="s">
        <v>160</v>
      </c>
      <c r="B55" s="54" t="s">
        <v>161</v>
      </c>
      <c r="C55" s="34">
        <v>5048.5</v>
      </c>
      <c r="D55" s="35">
        <v>5048.5</v>
      </c>
      <c r="E55" s="100">
        <v>6615</v>
      </c>
      <c r="F55" s="36">
        <v>6615</v>
      </c>
      <c r="G55" s="35">
        <v>6700</v>
      </c>
      <c r="H55" s="35">
        <v>6700</v>
      </c>
      <c r="I55" s="137">
        <v>85</v>
      </c>
      <c r="J55" s="244">
        <v>1.2849584278155746E-2</v>
      </c>
      <c r="K55" s="241"/>
      <c r="M55" s="30"/>
      <c r="N55" s="31">
        <f t="shared" si="0"/>
        <v>0</v>
      </c>
    </row>
    <row r="56" spans="1:14" ht="15" x14ac:dyDescent="0.25">
      <c r="A56" s="38"/>
      <c r="B56" s="43" t="s">
        <v>103</v>
      </c>
      <c r="C56" s="39">
        <v>37799.4</v>
      </c>
      <c r="D56" s="93">
        <v>37179.118999999999</v>
      </c>
      <c r="E56" s="101">
        <v>42689.58</v>
      </c>
      <c r="F56" s="40">
        <v>42127.08</v>
      </c>
      <c r="G56" s="41">
        <v>45225.86</v>
      </c>
      <c r="H56" s="41">
        <v>45722.38</v>
      </c>
      <c r="I56" s="139">
        <v>3595.2999999999993</v>
      </c>
      <c r="J56" s="245">
        <v>8.5344153926642852E-2</v>
      </c>
      <c r="K56" s="241"/>
      <c r="M56" s="30"/>
      <c r="N56" s="31">
        <f t="shared" si="0"/>
        <v>0</v>
      </c>
    </row>
    <row r="57" spans="1:14" ht="15" x14ac:dyDescent="0.25">
      <c r="A57" s="46" t="s">
        <v>290</v>
      </c>
      <c r="B57" s="61"/>
      <c r="C57" s="48"/>
      <c r="D57" s="49"/>
      <c r="E57" s="48"/>
      <c r="F57" s="50"/>
      <c r="G57" s="50"/>
      <c r="H57" s="50"/>
      <c r="I57" s="141"/>
      <c r="J57" s="246"/>
      <c r="K57" s="241"/>
      <c r="M57" s="30"/>
      <c r="N57" s="31">
        <f t="shared" si="0"/>
        <v>0</v>
      </c>
    </row>
    <row r="58" spans="1:14" x14ac:dyDescent="0.2">
      <c r="A58" s="51" t="s">
        <v>165</v>
      </c>
      <c r="B58" s="52" t="s">
        <v>210</v>
      </c>
      <c r="C58" s="27">
        <v>15292.41</v>
      </c>
      <c r="D58" s="28">
        <v>14928.305</v>
      </c>
      <c r="E58" s="7">
        <v>15674.73</v>
      </c>
      <c r="F58" s="29">
        <v>15152.23</v>
      </c>
      <c r="G58" s="28">
        <v>15606.8</v>
      </c>
      <c r="H58" s="28">
        <v>15455.274600000001</v>
      </c>
      <c r="I58" s="138">
        <v>303.04460000000108</v>
      </c>
      <c r="J58" s="245">
        <v>2.0000000000000018E-2</v>
      </c>
      <c r="K58" s="241"/>
      <c r="M58" s="30" t="s">
        <v>209</v>
      </c>
      <c r="N58" s="31">
        <f t="shared" si="0"/>
        <v>303.04000000000002</v>
      </c>
    </row>
    <row r="59" spans="1:14" x14ac:dyDescent="0.2">
      <c r="A59" s="53" t="s">
        <v>166</v>
      </c>
      <c r="B59" s="54" t="s">
        <v>167</v>
      </c>
      <c r="C59" s="34">
        <v>3443.83</v>
      </c>
      <c r="D59" s="35">
        <v>3529.9257499999994</v>
      </c>
      <c r="E59" s="100">
        <v>3706.43</v>
      </c>
      <c r="F59" s="36">
        <v>3582.88</v>
      </c>
      <c r="G59" s="35">
        <v>3690.37</v>
      </c>
      <c r="H59" s="35">
        <v>3654.5376000000001</v>
      </c>
      <c r="I59" s="137">
        <v>71.657600000000002</v>
      </c>
      <c r="J59" s="244">
        <v>2.0000000000000018E-2</v>
      </c>
      <c r="K59" s="241"/>
      <c r="M59" s="30" t="s">
        <v>209</v>
      </c>
      <c r="N59" s="31">
        <f t="shared" si="0"/>
        <v>71.66</v>
      </c>
    </row>
    <row r="60" spans="1:14" x14ac:dyDescent="0.2">
      <c r="A60" s="51" t="s">
        <v>440</v>
      </c>
      <c r="B60" s="52" t="s">
        <v>168</v>
      </c>
      <c r="C60" s="27">
        <v>6482</v>
      </c>
      <c r="D60" s="28">
        <v>6482</v>
      </c>
      <c r="E60" s="7">
        <v>6806.1</v>
      </c>
      <c r="F60" s="29">
        <v>6806.1</v>
      </c>
      <c r="G60" s="28">
        <v>6806.1</v>
      </c>
      <c r="H60" s="28">
        <v>6806.1</v>
      </c>
      <c r="I60" s="138">
        <v>0</v>
      </c>
      <c r="J60" s="245">
        <v>0</v>
      </c>
      <c r="K60" s="241"/>
      <c r="M60" s="30"/>
      <c r="N60" s="31">
        <f t="shared" si="0"/>
        <v>0</v>
      </c>
    </row>
    <row r="61" spans="1:14" ht="15" x14ac:dyDescent="0.25">
      <c r="A61" s="62" t="s">
        <v>285</v>
      </c>
      <c r="B61" s="54" t="s">
        <v>29</v>
      </c>
      <c r="C61" s="34">
        <v>1000</v>
      </c>
      <c r="D61" s="35">
        <v>1000</v>
      </c>
      <c r="E61" s="102">
        <v>1000</v>
      </c>
      <c r="F61" s="36">
        <v>1000</v>
      </c>
      <c r="G61" s="35">
        <v>1000</v>
      </c>
      <c r="H61" s="35">
        <v>1000</v>
      </c>
      <c r="I61" s="137">
        <v>0</v>
      </c>
      <c r="J61" s="244">
        <v>0</v>
      </c>
      <c r="K61" s="241"/>
      <c r="M61" s="30"/>
      <c r="N61" s="31">
        <f t="shared" si="0"/>
        <v>0</v>
      </c>
    </row>
    <row r="62" spans="1:14" ht="15" x14ac:dyDescent="0.25">
      <c r="A62" s="1"/>
      <c r="B62" s="43" t="s">
        <v>103</v>
      </c>
      <c r="C62" s="39">
        <v>26218.239999999998</v>
      </c>
      <c r="D62" s="93">
        <v>25940.230749999999</v>
      </c>
      <c r="E62" s="101">
        <v>27187.260000000002</v>
      </c>
      <c r="F62" s="40">
        <v>26541.21</v>
      </c>
      <c r="G62" s="41">
        <v>27103.269999999997</v>
      </c>
      <c r="H62" s="41">
        <v>26915.912199999999</v>
      </c>
      <c r="I62" s="139">
        <v>374.70220000000108</v>
      </c>
      <c r="J62" s="245">
        <v>1.4117751225358521E-2</v>
      </c>
      <c r="K62" s="241"/>
      <c r="M62" s="30"/>
      <c r="N62" s="31">
        <f t="shared" si="0"/>
        <v>0</v>
      </c>
    </row>
    <row r="63" spans="1:14" ht="15" x14ac:dyDescent="0.25">
      <c r="A63" s="63" t="s">
        <v>291</v>
      </c>
      <c r="B63" s="47"/>
      <c r="C63" s="48"/>
      <c r="D63" s="49"/>
      <c r="E63" s="48"/>
      <c r="F63" s="64"/>
      <c r="G63" s="50"/>
      <c r="H63" s="50"/>
      <c r="I63" s="141"/>
      <c r="J63" s="246"/>
      <c r="K63" s="241"/>
      <c r="M63" s="30"/>
      <c r="N63" s="31">
        <f t="shared" si="0"/>
        <v>0</v>
      </c>
    </row>
    <row r="64" spans="1:14" ht="15" x14ac:dyDescent="0.25">
      <c r="A64" s="51" t="s">
        <v>38</v>
      </c>
      <c r="B64" s="52" t="s">
        <v>39</v>
      </c>
      <c r="C64" s="27">
        <v>500</v>
      </c>
      <c r="D64" s="28">
        <v>500</v>
      </c>
      <c r="E64" s="101">
        <v>500</v>
      </c>
      <c r="F64" s="29">
        <v>500</v>
      </c>
      <c r="G64" s="28">
        <v>500</v>
      </c>
      <c r="H64" s="28">
        <v>500</v>
      </c>
      <c r="I64" s="138">
        <v>0</v>
      </c>
      <c r="J64" s="245">
        <v>0</v>
      </c>
      <c r="K64" s="241"/>
      <c r="M64" s="30"/>
      <c r="N64" s="31">
        <f t="shared" si="0"/>
        <v>0</v>
      </c>
    </row>
    <row r="65" spans="1:14" ht="15" x14ac:dyDescent="0.25">
      <c r="A65" s="53" t="s">
        <v>174</v>
      </c>
      <c r="B65" s="54" t="s">
        <v>175</v>
      </c>
      <c r="C65" s="34">
        <v>2575</v>
      </c>
      <c r="D65" s="35">
        <v>2626.5</v>
      </c>
      <c r="E65" s="102">
        <v>2626.5</v>
      </c>
      <c r="F65" s="36">
        <v>2665.9</v>
      </c>
      <c r="G65" s="35">
        <v>2665.9</v>
      </c>
      <c r="H65" s="35">
        <v>2719.2180000000003</v>
      </c>
      <c r="I65" s="137">
        <v>53.318000000000211</v>
      </c>
      <c r="J65" s="244">
        <v>2.0000000000000018E-2</v>
      </c>
      <c r="K65" s="241"/>
      <c r="M65" s="30" t="s">
        <v>209</v>
      </c>
      <c r="N65" s="31">
        <f>ROUND(IF(M65="Y",F65*$P$1,0),2)</f>
        <v>53.32</v>
      </c>
    </row>
    <row r="66" spans="1:14" ht="15" x14ac:dyDescent="0.25">
      <c r="A66" s="51" t="s">
        <v>40</v>
      </c>
      <c r="B66" s="52" t="s">
        <v>318</v>
      </c>
      <c r="C66" s="27">
        <v>1940</v>
      </c>
      <c r="D66" s="28">
        <v>1940</v>
      </c>
      <c r="E66" s="101">
        <v>1940</v>
      </c>
      <c r="F66" s="29">
        <v>900</v>
      </c>
      <c r="G66" s="28">
        <v>900</v>
      </c>
      <c r="H66" s="28">
        <v>900</v>
      </c>
      <c r="I66" s="138">
        <v>0</v>
      </c>
      <c r="J66" s="245">
        <v>0</v>
      </c>
      <c r="K66" s="241"/>
      <c r="M66" s="30"/>
      <c r="N66" s="31">
        <f t="shared" si="0"/>
        <v>0</v>
      </c>
    </row>
    <row r="67" spans="1:14" ht="15" x14ac:dyDescent="0.25">
      <c r="A67" s="57"/>
      <c r="B67" s="60" t="s">
        <v>103</v>
      </c>
      <c r="C67" s="59">
        <v>5015</v>
      </c>
      <c r="D67" s="94">
        <v>5066.5</v>
      </c>
      <c r="E67" s="102">
        <v>5066.5</v>
      </c>
      <c r="F67" s="56">
        <v>4065.9</v>
      </c>
      <c r="G67" s="42">
        <v>4065.9</v>
      </c>
      <c r="H67" s="42">
        <v>4119.2180000000008</v>
      </c>
      <c r="I67" s="142">
        <v>53.318000000000211</v>
      </c>
      <c r="J67" s="245">
        <v>1.3113455815440878E-2</v>
      </c>
      <c r="K67" s="241"/>
      <c r="M67" s="30"/>
      <c r="N67" s="31">
        <f t="shared" si="0"/>
        <v>0</v>
      </c>
    </row>
    <row r="68" spans="1:14" ht="15" x14ac:dyDescent="0.25">
      <c r="A68" s="63" t="s">
        <v>292</v>
      </c>
      <c r="B68" s="47"/>
      <c r="C68" s="48"/>
      <c r="D68" s="49"/>
      <c r="E68" s="48"/>
      <c r="F68" s="50"/>
      <c r="G68" s="50"/>
      <c r="H68" s="50"/>
      <c r="I68" s="141"/>
      <c r="J68" s="246"/>
      <c r="K68" s="241"/>
      <c r="M68" s="30"/>
      <c r="N68" s="31">
        <f t="shared" si="0"/>
        <v>0</v>
      </c>
    </row>
    <row r="69" spans="1:14" x14ac:dyDescent="0.2">
      <c r="A69" s="51" t="s">
        <v>176</v>
      </c>
      <c r="B69" s="52" t="s">
        <v>177</v>
      </c>
      <c r="C69" s="27">
        <v>1500</v>
      </c>
      <c r="D69" s="28">
        <v>1500</v>
      </c>
      <c r="E69" s="7">
        <v>1500</v>
      </c>
      <c r="F69" s="29">
        <v>1500</v>
      </c>
      <c r="G69" s="28">
        <v>1500</v>
      </c>
      <c r="H69" s="28">
        <v>1500</v>
      </c>
      <c r="I69" s="138">
        <v>0</v>
      </c>
      <c r="J69" s="245">
        <v>0</v>
      </c>
      <c r="K69" s="241"/>
      <c r="M69" s="30"/>
      <c r="N69" s="31">
        <f t="shared" si="0"/>
        <v>0</v>
      </c>
    </row>
    <row r="70" spans="1:14" x14ac:dyDescent="0.2">
      <c r="A70" s="53" t="s">
        <v>178</v>
      </c>
      <c r="B70" s="54" t="s">
        <v>179</v>
      </c>
      <c r="C70" s="34">
        <v>2800</v>
      </c>
      <c r="D70" s="35">
        <v>2883.8477499999999</v>
      </c>
      <c r="E70" s="100">
        <v>3000</v>
      </c>
      <c r="F70" s="36">
        <v>2927.11</v>
      </c>
      <c r="G70" s="35">
        <v>2900</v>
      </c>
      <c r="H70" s="35">
        <v>2985.6522</v>
      </c>
      <c r="I70" s="137">
        <v>58.542199999999866</v>
      </c>
      <c r="J70" s="244">
        <v>2.0000000000000018E-2</v>
      </c>
      <c r="K70" s="241"/>
      <c r="M70" s="30" t="s">
        <v>209</v>
      </c>
      <c r="N70" s="31">
        <f t="shared" ref="N70:N133" si="1">ROUND(IF(M70="Y",F70*$P$1,0),2)</f>
        <v>58.54</v>
      </c>
    </row>
    <row r="71" spans="1:14" x14ac:dyDescent="0.2">
      <c r="A71" s="51" t="s">
        <v>180</v>
      </c>
      <c r="B71" s="52" t="s">
        <v>181</v>
      </c>
      <c r="C71" s="27">
        <v>200</v>
      </c>
      <c r="D71" s="28">
        <v>0</v>
      </c>
      <c r="E71" s="7">
        <v>300</v>
      </c>
      <c r="F71" s="29">
        <v>150</v>
      </c>
      <c r="G71" s="28">
        <v>150</v>
      </c>
      <c r="H71" s="28">
        <v>150</v>
      </c>
      <c r="I71" s="138">
        <v>0</v>
      </c>
      <c r="J71" s="244">
        <v>0</v>
      </c>
      <c r="K71" s="241"/>
      <c r="M71" s="30"/>
      <c r="N71" s="31">
        <f t="shared" si="1"/>
        <v>0</v>
      </c>
    </row>
    <row r="72" spans="1:14" ht="15" x14ac:dyDescent="0.25">
      <c r="A72" s="57"/>
      <c r="B72" s="60" t="s">
        <v>103</v>
      </c>
      <c r="C72" s="59">
        <v>4500</v>
      </c>
      <c r="D72" s="94">
        <v>4383.8477499999999</v>
      </c>
      <c r="E72" s="102">
        <v>4800</v>
      </c>
      <c r="F72" s="56">
        <v>4577.1100000000006</v>
      </c>
      <c r="G72" s="42">
        <v>4550</v>
      </c>
      <c r="H72" s="42">
        <v>4635.6522000000004</v>
      </c>
      <c r="I72" s="142">
        <v>58.542199999999866</v>
      </c>
      <c r="J72" s="245">
        <v>1.2790210416616654E-2</v>
      </c>
      <c r="K72" s="241"/>
      <c r="M72" s="30"/>
      <c r="N72" s="31">
        <f t="shared" si="1"/>
        <v>0</v>
      </c>
    </row>
    <row r="73" spans="1:14" ht="15" x14ac:dyDescent="0.25">
      <c r="A73" s="63" t="s">
        <v>293</v>
      </c>
      <c r="B73" s="47"/>
      <c r="C73" s="48"/>
      <c r="D73" s="49"/>
      <c r="E73" s="48"/>
      <c r="F73" s="50"/>
      <c r="G73" s="50"/>
      <c r="H73" s="50"/>
      <c r="I73" s="141"/>
      <c r="J73" s="246"/>
      <c r="K73" s="241"/>
      <c r="M73" s="30"/>
      <c r="N73" s="31">
        <f t="shared" si="1"/>
        <v>0</v>
      </c>
    </row>
    <row r="74" spans="1:14" x14ac:dyDescent="0.2">
      <c r="A74" s="51" t="s">
        <v>184</v>
      </c>
      <c r="B74" s="52" t="s">
        <v>185</v>
      </c>
      <c r="C74" s="27">
        <v>0</v>
      </c>
      <c r="D74" s="28">
        <v>0</v>
      </c>
      <c r="E74" s="7">
        <v>0</v>
      </c>
      <c r="F74" s="29">
        <v>0</v>
      </c>
      <c r="G74" s="28">
        <v>0</v>
      </c>
      <c r="H74" s="28">
        <v>0</v>
      </c>
      <c r="I74" s="138">
        <v>0</v>
      </c>
      <c r="J74" s="245"/>
      <c r="K74" s="241"/>
      <c r="M74" s="30"/>
      <c r="N74" s="31">
        <f>ROUND(IF(M74="Y",F74*$P$1,0),2)</f>
        <v>0</v>
      </c>
    </row>
    <row r="75" spans="1:14" ht="15" x14ac:dyDescent="0.25">
      <c r="A75" s="53" t="s">
        <v>182</v>
      </c>
      <c r="B75" s="54" t="s">
        <v>183</v>
      </c>
      <c r="C75" s="34">
        <v>30</v>
      </c>
      <c r="D75" s="35">
        <v>30</v>
      </c>
      <c r="E75" s="102">
        <v>30</v>
      </c>
      <c r="F75" s="36">
        <v>30</v>
      </c>
      <c r="G75" s="35">
        <v>30</v>
      </c>
      <c r="H75" s="35">
        <v>30</v>
      </c>
      <c r="I75" s="137">
        <v>0</v>
      </c>
      <c r="J75" s="244">
        <v>0</v>
      </c>
      <c r="K75" s="241"/>
      <c r="M75" s="30"/>
      <c r="N75" s="31">
        <f t="shared" si="1"/>
        <v>0</v>
      </c>
    </row>
    <row r="76" spans="1:14" ht="15" x14ac:dyDescent="0.25">
      <c r="A76" s="1"/>
      <c r="B76" s="43" t="s">
        <v>103</v>
      </c>
      <c r="C76" s="39">
        <v>30</v>
      </c>
      <c r="D76" s="93">
        <v>30</v>
      </c>
      <c r="E76" s="101">
        <v>30</v>
      </c>
      <c r="F76" s="40">
        <v>30</v>
      </c>
      <c r="G76" s="41">
        <v>30</v>
      </c>
      <c r="H76" s="41">
        <v>30</v>
      </c>
      <c r="I76" s="139">
        <v>0</v>
      </c>
      <c r="J76" s="245">
        <v>0</v>
      </c>
      <c r="K76" s="241"/>
      <c r="M76" s="30"/>
      <c r="N76" s="31">
        <f t="shared" si="1"/>
        <v>0</v>
      </c>
    </row>
    <row r="77" spans="1:14" ht="15" x14ac:dyDescent="0.25">
      <c r="A77" s="46" t="s">
        <v>252</v>
      </c>
      <c r="B77" s="65"/>
      <c r="C77" s="47"/>
      <c r="D77" s="49"/>
      <c r="E77" s="48"/>
      <c r="F77" s="50"/>
      <c r="G77" s="50"/>
      <c r="H77" s="50"/>
      <c r="I77" s="141"/>
      <c r="J77" s="246"/>
      <c r="K77" s="241"/>
      <c r="M77" s="30"/>
      <c r="N77" s="31">
        <f t="shared" si="1"/>
        <v>0</v>
      </c>
    </row>
    <row r="78" spans="1:14" x14ac:dyDescent="0.2">
      <c r="A78" s="51" t="s">
        <v>187</v>
      </c>
      <c r="B78" s="52" t="s">
        <v>188</v>
      </c>
      <c r="C78" s="69">
        <v>34842.46</v>
      </c>
      <c r="D78" s="66">
        <v>33720.019500000002</v>
      </c>
      <c r="E78" s="7">
        <v>34225.82</v>
      </c>
      <c r="F78" s="29">
        <v>34225.82</v>
      </c>
      <c r="G78" s="28">
        <v>35081.47</v>
      </c>
      <c r="H78" s="28">
        <v>35783.099399999999</v>
      </c>
      <c r="I78" s="138">
        <v>1557.2793999999994</v>
      </c>
      <c r="J78" s="245">
        <v>4.5500134109277779E-2</v>
      </c>
      <c r="K78" s="241"/>
      <c r="M78" s="30" t="s">
        <v>209</v>
      </c>
      <c r="N78" s="31">
        <f t="shared" si="1"/>
        <v>684.52</v>
      </c>
    </row>
    <row r="79" spans="1:14" x14ac:dyDescent="0.2">
      <c r="A79" s="124" t="s">
        <v>272</v>
      </c>
      <c r="B79" s="54" t="s">
        <v>186</v>
      </c>
      <c r="C79" s="34">
        <v>6000</v>
      </c>
      <c r="D79" s="68">
        <v>6149.9999999999991</v>
      </c>
      <c r="E79" s="100">
        <v>6242.25</v>
      </c>
      <c r="F79" s="36">
        <v>6242.25</v>
      </c>
      <c r="G79" s="35">
        <v>6398.31</v>
      </c>
      <c r="H79" s="35">
        <v>6526.2762000000002</v>
      </c>
      <c r="I79" s="137">
        <v>284.02620000000024</v>
      </c>
      <c r="J79" s="244">
        <v>4.5500612759822312E-2</v>
      </c>
      <c r="K79" s="241"/>
      <c r="M79" s="30" t="s">
        <v>209</v>
      </c>
      <c r="N79" s="31">
        <f t="shared" si="1"/>
        <v>124.85</v>
      </c>
    </row>
    <row r="80" spans="1:14" x14ac:dyDescent="0.2">
      <c r="A80" s="51" t="s">
        <v>189</v>
      </c>
      <c r="B80" s="52" t="s">
        <v>190</v>
      </c>
      <c r="C80" s="69">
        <v>620</v>
      </c>
      <c r="D80" s="66">
        <v>620</v>
      </c>
      <c r="E80" s="7">
        <v>620</v>
      </c>
      <c r="F80" s="29">
        <v>620</v>
      </c>
      <c r="G80" s="28">
        <v>620</v>
      </c>
      <c r="H80" s="28">
        <v>620</v>
      </c>
      <c r="I80" s="138">
        <v>0</v>
      </c>
      <c r="J80" s="245">
        <v>0</v>
      </c>
      <c r="K80" s="241"/>
      <c r="M80" s="30"/>
      <c r="N80" s="31">
        <f t="shared" si="1"/>
        <v>0</v>
      </c>
    </row>
    <row r="81" spans="1:14" x14ac:dyDescent="0.2">
      <c r="A81" s="53" t="s">
        <v>274</v>
      </c>
      <c r="B81" s="54" t="s">
        <v>193</v>
      </c>
      <c r="C81" s="34">
        <v>516</v>
      </c>
      <c r="D81" s="35">
        <v>516</v>
      </c>
      <c r="E81" s="100">
        <v>516</v>
      </c>
      <c r="F81" s="36">
        <v>516</v>
      </c>
      <c r="G81" s="35">
        <v>516</v>
      </c>
      <c r="H81" s="35">
        <v>516</v>
      </c>
      <c r="I81" s="137">
        <v>0</v>
      </c>
      <c r="J81" s="244">
        <v>0</v>
      </c>
      <c r="K81" s="241"/>
      <c r="M81" s="30"/>
      <c r="N81" s="31">
        <f t="shared" si="1"/>
        <v>0</v>
      </c>
    </row>
    <row r="82" spans="1:14" x14ac:dyDescent="0.2">
      <c r="A82" s="51" t="s">
        <v>270</v>
      </c>
      <c r="B82" s="52" t="s">
        <v>205</v>
      </c>
      <c r="C82" s="27"/>
      <c r="D82" s="181">
        <v>0</v>
      </c>
      <c r="E82" s="7"/>
      <c r="F82" s="182">
        <v>4000</v>
      </c>
      <c r="G82" s="181">
        <v>4000</v>
      </c>
      <c r="H82" s="181">
        <v>4000</v>
      </c>
      <c r="I82" s="181">
        <v>0</v>
      </c>
      <c r="J82" s="243">
        <v>0</v>
      </c>
      <c r="K82" s="241"/>
      <c r="M82" s="30"/>
      <c r="N82" s="31">
        <f t="shared" si="1"/>
        <v>0</v>
      </c>
    </row>
    <row r="83" spans="1:14" x14ac:dyDescent="0.2">
      <c r="A83" s="53" t="s">
        <v>441</v>
      </c>
      <c r="B83" s="54" t="s">
        <v>386</v>
      </c>
      <c r="C83" s="34"/>
      <c r="D83" s="35">
        <v>0</v>
      </c>
      <c r="E83" s="100"/>
      <c r="F83" s="36">
        <v>0</v>
      </c>
      <c r="G83" s="35">
        <v>3500</v>
      </c>
      <c r="H83" s="35">
        <v>3500</v>
      </c>
      <c r="I83" s="35">
        <v>3500</v>
      </c>
      <c r="J83" s="244"/>
      <c r="K83" s="241"/>
      <c r="M83" s="30"/>
      <c r="N83" s="31">
        <f t="shared" si="1"/>
        <v>0</v>
      </c>
    </row>
    <row r="84" spans="1:14" x14ac:dyDescent="0.2">
      <c r="A84" s="51" t="s">
        <v>271</v>
      </c>
      <c r="B84" s="52" t="s">
        <v>170</v>
      </c>
      <c r="C84" s="27">
        <v>200</v>
      </c>
      <c r="D84" s="28">
        <v>200</v>
      </c>
      <c r="E84" s="7">
        <v>0</v>
      </c>
      <c r="F84" s="29">
        <v>0</v>
      </c>
      <c r="G84" s="28">
        <v>0</v>
      </c>
      <c r="H84" s="28">
        <v>0</v>
      </c>
      <c r="I84" s="28">
        <v>0</v>
      </c>
      <c r="J84" s="245"/>
      <c r="K84" s="241"/>
      <c r="M84" s="30"/>
      <c r="N84" s="31">
        <f t="shared" si="1"/>
        <v>0</v>
      </c>
    </row>
    <row r="85" spans="1:14" x14ac:dyDescent="0.2">
      <c r="A85" s="53" t="s">
        <v>191</v>
      </c>
      <c r="B85" s="54" t="s">
        <v>15</v>
      </c>
      <c r="C85" s="67">
        <v>8480</v>
      </c>
      <c r="D85" s="68">
        <v>8480</v>
      </c>
      <c r="E85" s="100">
        <v>8480</v>
      </c>
      <c r="F85" s="36">
        <v>4480</v>
      </c>
      <c r="G85" s="35">
        <v>4480</v>
      </c>
      <c r="H85" s="35">
        <v>4480</v>
      </c>
      <c r="I85" s="35">
        <v>0</v>
      </c>
      <c r="J85" s="244">
        <v>0</v>
      </c>
      <c r="K85" s="241"/>
      <c r="M85" s="30"/>
      <c r="N85" s="31">
        <f t="shared" si="1"/>
        <v>0</v>
      </c>
    </row>
    <row r="86" spans="1:14" x14ac:dyDescent="0.2">
      <c r="A86" s="51" t="s">
        <v>273</v>
      </c>
      <c r="B86" s="52" t="s">
        <v>192</v>
      </c>
      <c r="C86" s="69">
        <v>1970</v>
      </c>
      <c r="D86" s="66">
        <v>1970</v>
      </c>
      <c r="E86" s="7">
        <v>2015</v>
      </c>
      <c r="F86" s="29">
        <v>2015</v>
      </c>
      <c r="G86" s="28">
        <v>2060</v>
      </c>
      <c r="H86" s="28">
        <v>2060</v>
      </c>
      <c r="I86" s="28">
        <v>45</v>
      </c>
      <c r="J86" s="245">
        <v>2.2332506203474045E-2</v>
      </c>
      <c r="K86" s="241"/>
      <c r="M86" s="30"/>
      <c r="N86" s="31">
        <f t="shared" si="1"/>
        <v>0</v>
      </c>
    </row>
    <row r="87" spans="1:14" ht="15" x14ac:dyDescent="0.25">
      <c r="A87" s="38"/>
      <c r="B87" s="43" t="s">
        <v>103</v>
      </c>
      <c r="C87" s="39">
        <v>52628.46</v>
      </c>
      <c r="D87" s="93">
        <v>51656.019500000002</v>
      </c>
      <c r="E87" s="101">
        <v>52099.07</v>
      </c>
      <c r="F87" s="40">
        <v>52099.07</v>
      </c>
      <c r="G87" s="41">
        <v>56655.78</v>
      </c>
      <c r="H87" s="41">
        <v>57485.375599999999</v>
      </c>
      <c r="I87" s="139">
        <v>5386.3055999999997</v>
      </c>
      <c r="J87" s="245">
        <v>0.10338583011174673</v>
      </c>
      <c r="K87" s="241"/>
      <c r="M87" s="30"/>
      <c r="N87" s="31">
        <f t="shared" si="1"/>
        <v>0</v>
      </c>
    </row>
    <row r="88" spans="1:14" ht="15" x14ac:dyDescent="0.25">
      <c r="A88" s="63" t="s">
        <v>253</v>
      </c>
      <c r="B88" s="47"/>
      <c r="C88" s="48"/>
      <c r="D88" s="49"/>
      <c r="E88" s="48"/>
      <c r="F88" s="50"/>
      <c r="G88" s="50"/>
      <c r="H88" s="50"/>
      <c r="I88" s="141"/>
      <c r="J88" s="245"/>
      <c r="K88" s="241"/>
      <c r="M88" s="30"/>
      <c r="N88" s="31">
        <f t="shared" si="1"/>
        <v>0</v>
      </c>
    </row>
    <row r="89" spans="1:14" x14ac:dyDescent="0.2">
      <c r="A89" s="25" t="s">
        <v>196</v>
      </c>
      <c r="B89" s="26" t="s">
        <v>355</v>
      </c>
      <c r="C89" s="27">
        <v>6060</v>
      </c>
      <c r="D89" s="28">
        <v>6211.4999999999991</v>
      </c>
      <c r="E89" s="7">
        <v>6211.5</v>
      </c>
      <c r="F89" s="29">
        <v>6304.67</v>
      </c>
      <c r="G89" s="28">
        <v>6304.67</v>
      </c>
      <c r="H89" s="28">
        <v>6430.77</v>
      </c>
      <c r="I89" s="138">
        <v>126.10000000000036</v>
      </c>
      <c r="J89" s="245">
        <v>2.0001046843054482E-2</v>
      </c>
      <c r="K89" s="241"/>
      <c r="M89" s="30" t="s">
        <v>209</v>
      </c>
      <c r="N89" s="31">
        <f t="shared" si="1"/>
        <v>126.09</v>
      </c>
    </row>
    <row r="90" spans="1:14" x14ac:dyDescent="0.2">
      <c r="A90" s="32" t="s">
        <v>195</v>
      </c>
      <c r="B90" s="37" t="s">
        <v>356</v>
      </c>
      <c r="C90" s="34">
        <v>8000</v>
      </c>
      <c r="D90" s="35">
        <v>4658.625</v>
      </c>
      <c r="E90" s="100">
        <v>8000</v>
      </c>
      <c r="F90" s="36">
        <v>4728.51</v>
      </c>
      <c r="G90" s="35">
        <v>3728.51</v>
      </c>
      <c r="H90" s="35">
        <v>3803.0802000000003</v>
      </c>
      <c r="I90" s="137">
        <v>-925.42979999999989</v>
      </c>
      <c r="J90" s="244">
        <v>-0.19571277209945626</v>
      </c>
      <c r="K90" s="241"/>
      <c r="M90" s="30" t="s">
        <v>209</v>
      </c>
      <c r="N90" s="31">
        <f t="shared" si="1"/>
        <v>94.57</v>
      </c>
    </row>
    <row r="91" spans="1:14" x14ac:dyDescent="0.2">
      <c r="A91" s="25" t="s">
        <v>197</v>
      </c>
      <c r="B91" s="26" t="s">
        <v>357</v>
      </c>
      <c r="C91" s="27">
        <v>2020</v>
      </c>
      <c r="D91" s="28">
        <v>2070.5</v>
      </c>
      <c r="E91" s="7">
        <v>3000</v>
      </c>
      <c r="F91" s="29">
        <v>2101.56</v>
      </c>
      <c r="G91" s="28">
        <v>2101.56</v>
      </c>
      <c r="H91" s="28">
        <v>2143.5911999999998</v>
      </c>
      <c r="I91" s="138">
        <v>42.031199999999899</v>
      </c>
      <c r="J91" s="245">
        <v>2.0000000000000018E-2</v>
      </c>
      <c r="K91" s="241"/>
      <c r="M91" s="30" t="s">
        <v>209</v>
      </c>
      <c r="N91" s="31">
        <f t="shared" si="1"/>
        <v>42.03</v>
      </c>
    </row>
    <row r="92" spans="1:14" x14ac:dyDescent="0.2">
      <c r="A92" s="32" t="s">
        <v>198</v>
      </c>
      <c r="B92" s="37" t="s">
        <v>358</v>
      </c>
      <c r="C92" s="34">
        <v>2020</v>
      </c>
      <c r="D92" s="35">
        <v>2070.5</v>
      </c>
      <c r="E92" s="100">
        <v>2500</v>
      </c>
      <c r="F92" s="36">
        <v>2101.56</v>
      </c>
      <c r="G92" s="35">
        <v>2101.56</v>
      </c>
      <c r="H92" s="35">
        <v>2143.5911999999998</v>
      </c>
      <c r="I92" s="35">
        <v>42.031199999999899</v>
      </c>
      <c r="J92" s="244">
        <v>2.0000000000000018E-2</v>
      </c>
      <c r="K92" s="241"/>
      <c r="M92" s="30" t="s">
        <v>209</v>
      </c>
      <c r="N92" s="31">
        <f t="shared" si="1"/>
        <v>42.03</v>
      </c>
    </row>
    <row r="93" spans="1:14" x14ac:dyDescent="0.2">
      <c r="A93" s="25" t="s">
        <v>354</v>
      </c>
      <c r="B93" s="26" t="s">
        <v>359</v>
      </c>
      <c r="C93" s="27">
        <v>2020</v>
      </c>
      <c r="D93" s="28">
        <v>0</v>
      </c>
      <c r="E93" s="7">
        <v>2500</v>
      </c>
      <c r="F93" s="29">
        <v>0</v>
      </c>
      <c r="G93" s="28">
        <v>1000</v>
      </c>
      <c r="H93" s="28">
        <v>1020</v>
      </c>
      <c r="I93" s="28">
        <v>1020</v>
      </c>
      <c r="J93" s="245"/>
      <c r="K93" s="241"/>
      <c r="M93" s="30" t="s">
        <v>209</v>
      </c>
      <c r="N93" s="31">
        <f t="shared" si="1"/>
        <v>0</v>
      </c>
    </row>
    <row r="94" spans="1:14" x14ac:dyDescent="0.2">
      <c r="A94" s="32" t="s">
        <v>276</v>
      </c>
      <c r="B94" s="37" t="s">
        <v>319</v>
      </c>
      <c r="C94" s="34"/>
      <c r="D94" s="35"/>
      <c r="E94" s="100"/>
      <c r="F94" s="36">
        <v>3000</v>
      </c>
      <c r="G94" s="35">
        <v>3000</v>
      </c>
      <c r="H94" s="35">
        <v>3000</v>
      </c>
      <c r="I94" s="35">
        <v>0</v>
      </c>
      <c r="J94" s="244">
        <v>0</v>
      </c>
      <c r="K94" s="241"/>
      <c r="M94" s="30"/>
      <c r="N94" s="31">
        <f t="shared" si="1"/>
        <v>0</v>
      </c>
    </row>
    <row r="95" spans="1:14" x14ac:dyDescent="0.2">
      <c r="A95" s="25" t="s">
        <v>199</v>
      </c>
      <c r="B95" s="26" t="s">
        <v>360</v>
      </c>
      <c r="C95" s="27">
        <v>10000</v>
      </c>
      <c r="D95" s="28">
        <v>6000</v>
      </c>
      <c r="E95" s="7">
        <v>7000</v>
      </c>
      <c r="F95" s="29">
        <v>3500</v>
      </c>
      <c r="G95" s="28">
        <v>3500</v>
      </c>
      <c r="H95" s="28">
        <v>3500</v>
      </c>
      <c r="I95" s="28">
        <v>0</v>
      </c>
      <c r="J95" s="245">
        <v>0</v>
      </c>
      <c r="K95" s="241"/>
      <c r="M95" s="30"/>
      <c r="N95" s="31">
        <f t="shared" si="1"/>
        <v>0</v>
      </c>
    </row>
    <row r="96" spans="1:14" x14ac:dyDescent="0.2">
      <c r="A96" s="32" t="s">
        <v>399</v>
      </c>
      <c r="B96" s="37" t="s">
        <v>388</v>
      </c>
      <c r="C96" s="34"/>
      <c r="D96" s="35"/>
      <c r="E96" s="100"/>
      <c r="F96" s="36"/>
      <c r="G96" s="35"/>
      <c r="H96" s="35">
        <v>5500</v>
      </c>
      <c r="I96" s="35"/>
      <c r="J96" s="244"/>
      <c r="K96" s="241"/>
      <c r="M96" s="30"/>
      <c r="N96" s="31">
        <f t="shared" si="1"/>
        <v>0</v>
      </c>
    </row>
    <row r="97" spans="1:14" x14ac:dyDescent="0.2">
      <c r="A97" s="25" t="s">
        <v>194</v>
      </c>
      <c r="B97" s="26" t="s">
        <v>361</v>
      </c>
      <c r="C97" s="27">
        <v>22000</v>
      </c>
      <c r="D97" s="28">
        <v>19000</v>
      </c>
      <c r="E97" s="7">
        <v>25000</v>
      </c>
      <c r="F97" s="29">
        <v>19000</v>
      </c>
      <c r="G97" s="28">
        <v>19000</v>
      </c>
      <c r="H97" s="28">
        <v>19000</v>
      </c>
      <c r="I97" s="28">
        <v>0</v>
      </c>
      <c r="J97" s="245">
        <v>0</v>
      </c>
      <c r="K97" s="241"/>
      <c r="M97" s="30"/>
      <c r="N97" s="31">
        <f t="shared" si="1"/>
        <v>0</v>
      </c>
    </row>
    <row r="98" spans="1:14" x14ac:dyDescent="0.2">
      <c r="A98" s="32" t="s">
        <v>200</v>
      </c>
      <c r="B98" s="37" t="s">
        <v>362</v>
      </c>
      <c r="C98" s="34">
        <v>3000</v>
      </c>
      <c r="D98" s="35">
        <v>3000</v>
      </c>
      <c r="E98" s="100">
        <v>3000</v>
      </c>
      <c r="F98" s="36">
        <v>1500</v>
      </c>
      <c r="G98" s="35">
        <v>1500</v>
      </c>
      <c r="H98" s="35">
        <v>1500</v>
      </c>
      <c r="I98" s="35">
        <v>0</v>
      </c>
      <c r="J98" s="244">
        <v>0</v>
      </c>
      <c r="K98" s="241"/>
      <c r="M98" s="30"/>
      <c r="N98" s="31">
        <f t="shared" si="1"/>
        <v>0</v>
      </c>
    </row>
    <row r="99" spans="1:14" ht="15" x14ac:dyDescent="0.25">
      <c r="A99" s="57"/>
      <c r="B99" s="60" t="s">
        <v>103</v>
      </c>
      <c r="C99" s="59">
        <v>53100</v>
      </c>
      <c r="D99" s="94">
        <v>43011.125</v>
      </c>
      <c r="E99" s="102">
        <v>54711.5</v>
      </c>
      <c r="F99" s="56">
        <v>42236.3</v>
      </c>
      <c r="G99" s="42">
        <v>42236.3</v>
      </c>
      <c r="H99" s="42">
        <v>48041.032599999999</v>
      </c>
      <c r="I99" s="142">
        <v>304.73260000000028</v>
      </c>
      <c r="J99" s="245">
        <v>0.13743468532991754</v>
      </c>
      <c r="K99" s="241"/>
      <c r="M99" s="30"/>
      <c r="N99" s="31">
        <f t="shared" si="1"/>
        <v>0</v>
      </c>
    </row>
    <row r="100" spans="1:14" ht="15" x14ac:dyDescent="0.25">
      <c r="A100" s="63" t="s">
        <v>258</v>
      </c>
      <c r="B100" s="47"/>
      <c r="C100" s="48"/>
      <c r="D100" s="95"/>
      <c r="E100" s="48"/>
      <c r="F100" s="50"/>
      <c r="G100" s="50"/>
      <c r="H100" s="50"/>
      <c r="I100" s="141"/>
      <c r="J100" s="245"/>
      <c r="K100" s="241"/>
      <c r="M100" s="30"/>
      <c r="N100" s="31">
        <f t="shared" si="1"/>
        <v>0</v>
      </c>
    </row>
    <row r="101" spans="1:14" x14ac:dyDescent="0.2">
      <c r="A101" s="25" t="s">
        <v>201</v>
      </c>
      <c r="B101" s="26" t="s">
        <v>202</v>
      </c>
      <c r="C101" s="27">
        <v>46237.749999999993</v>
      </c>
      <c r="D101" s="96">
        <v>46237.749999999993</v>
      </c>
      <c r="E101" s="7">
        <v>47393.69</v>
      </c>
      <c r="F101" s="29">
        <v>47393.69</v>
      </c>
      <c r="G101" s="28">
        <v>48578.53</v>
      </c>
      <c r="H101" s="28">
        <v>48578.53</v>
      </c>
      <c r="I101" s="138">
        <v>1184.8399999999965</v>
      </c>
      <c r="J101" s="245">
        <v>2.4999952525325497E-2</v>
      </c>
      <c r="K101" s="241"/>
      <c r="M101" s="30"/>
      <c r="N101" s="31">
        <f t="shared" si="1"/>
        <v>0</v>
      </c>
    </row>
    <row r="102" spans="1:14" ht="15" x14ac:dyDescent="0.25">
      <c r="A102" s="57"/>
      <c r="B102" s="60" t="s">
        <v>103</v>
      </c>
      <c r="C102" s="59">
        <v>46237.749999999993</v>
      </c>
      <c r="D102" s="94">
        <v>46237.749999999993</v>
      </c>
      <c r="E102" s="102">
        <v>47393.69</v>
      </c>
      <c r="F102" s="116">
        <v>47393.69</v>
      </c>
      <c r="G102" s="94">
        <v>48578.53</v>
      </c>
      <c r="H102" s="94">
        <v>48578.53</v>
      </c>
      <c r="I102" s="143">
        <v>1184.8399999999965</v>
      </c>
      <c r="J102" s="245">
        <v>2.4999952525325497E-2</v>
      </c>
      <c r="K102" s="241"/>
      <c r="M102" s="30"/>
      <c r="N102" s="31">
        <f t="shared" si="1"/>
        <v>0</v>
      </c>
    </row>
    <row r="103" spans="1:14" ht="15" x14ac:dyDescent="0.25">
      <c r="A103" s="63" t="s">
        <v>308</v>
      </c>
      <c r="B103" s="47"/>
      <c r="C103" s="48"/>
      <c r="D103" s="95"/>
      <c r="E103" s="48"/>
      <c r="F103" s="50"/>
      <c r="G103" s="50"/>
      <c r="H103" s="50"/>
      <c r="I103" s="141"/>
      <c r="J103" s="245"/>
      <c r="K103" s="241"/>
      <c r="M103" s="30"/>
      <c r="N103" s="31">
        <f t="shared" si="1"/>
        <v>0</v>
      </c>
    </row>
    <row r="104" spans="1:14" ht="15" x14ac:dyDescent="0.25">
      <c r="A104" s="25" t="s">
        <v>203</v>
      </c>
      <c r="B104" s="26" t="s">
        <v>309</v>
      </c>
      <c r="C104" s="27">
        <v>100</v>
      </c>
      <c r="D104" s="96">
        <v>100</v>
      </c>
      <c r="E104" s="101">
        <v>100</v>
      </c>
      <c r="F104" s="40">
        <v>100</v>
      </c>
      <c r="G104" s="28">
        <v>200</v>
      </c>
      <c r="H104" s="28">
        <v>200</v>
      </c>
      <c r="I104" s="138">
        <v>100</v>
      </c>
      <c r="J104" s="245">
        <v>1</v>
      </c>
      <c r="K104" s="241"/>
      <c r="M104" s="30"/>
      <c r="N104" s="31">
        <f t="shared" si="1"/>
        <v>0</v>
      </c>
    </row>
    <row r="105" spans="1:14" ht="15" x14ac:dyDescent="0.25">
      <c r="A105" s="25" t="s">
        <v>442</v>
      </c>
      <c r="B105" s="26" t="s">
        <v>320</v>
      </c>
      <c r="C105" s="27">
        <v>1500</v>
      </c>
      <c r="D105" s="96">
        <v>0</v>
      </c>
      <c r="E105" s="101">
        <v>1500</v>
      </c>
      <c r="F105" s="40">
        <v>0</v>
      </c>
      <c r="G105" s="28">
        <v>100</v>
      </c>
      <c r="H105" s="28">
        <v>100</v>
      </c>
      <c r="I105" s="138">
        <v>100</v>
      </c>
      <c r="J105" s="245"/>
      <c r="K105" s="241"/>
      <c r="M105" s="30"/>
      <c r="N105" s="31">
        <f>ROUND(IF(M105="Y",F105*$P$1,0),2)</f>
        <v>0</v>
      </c>
    </row>
    <row r="106" spans="1:14" ht="15" x14ac:dyDescent="0.25">
      <c r="A106" s="32" t="s">
        <v>204</v>
      </c>
      <c r="B106" s="37" t="s">
        <v>310</v>
      </c>
      <c r="C106" s="34">
        <v>1500</v>
      </c>
      <c r="D106" s="97">
        <v>1500</v>
      </c>
      <c r="E106" s="102">
        <v>1500</v>
      </c>
      <c r="F106" s="56">
        <v>1500</v>
      </c>
      <c r="G106" s="35">
        <v>1300</v>
      </c>
      <c r="H106" s="35">
        <v>1300</v>
      </c>
      <c r="I106" s="137">
        <v>-200</v>
      </c>
      <c r="J106" s="244">
        <v>-0.1333333333333333</v>
      </c>
      <c r="K106" s="241"/>
      <c r="M106" s="30"/>
      <c r="N106" s="31">
        <f t="shared" si="1"/>
        <v>0</v>
      </c>
    </row>
    <row r="107" spans="1:14" ht="15" x14ac:dyDescent="0.25">
      <c r="A107" s="38"/>
      <c r="B107" s="43" t="s">
        <v>103</v>
      </c>
      <c r="C107" s="39">
        <v>1600</v>
      </c>
      <c r="D107" s="93">
        <v>1600</v>
      </c>
      <c r="E107" s="101">
        <v>1600</v>
      </c>
      <c r="F107" s="115">
        <v>1600</v>
      </c>
      <c r="G107" s="93">
        <v>1600</v>
      </c>
      <c r="H107" s="93">
        <v>1600</v>
      </c>
      <c r="I107" s="144">
        <v>0</v>
      </c>
      <c r="J107" s="245">
        <v>0</v>
      </c>
      <c r="K107" s="241"/>
      <c r="M107" s="30"/>
      <c r="N107" s="31">
        <f t="shared" si="1"/>
        <v>0</v>
      </c>
    </row>
    <row r="108" spans="1:14" ht="15" x14ac:dyDescent="0.25">
      <c r="A108" s="63" t="s">
        <v>259</v>
      </c>
      <c r="B108" s="47"/>
      <c r="C108" s="48"/>
      <c r="D108" s="49"/>
      <c r="E108" s="48"/>
      <c r="F108" s="50"/>
      <c r="G108" s="50"/>
      <c r="H108" s="50"/>
      <c r="I108" s="141"/>
      <c r="J108" s="245"/>
      <c r="K108" s="241"/>
      <c r="M108" s="30"/>
      <c r="N108" s="31">
        <f t="shared" si="1"/>
        <v>0</v>
      </c>
    </row>
    <row r="109" spans="1:14" x14ac:dyDescent="0.2">
      <c r="A109" s="25" t="s">
        <v>78</v>
      </c>
      <c r="B109" s="26" t="s">
        <v>79</v>
      </c>
      <c r="C109" s="27">
        <v>2896.26</v>
      </c>
      <c r="D109" s="28">
        <v>2968.6664999999998</v>
      </c>
      <c r="E109" s="7">
        <v>3057.73</v>
      </c>
      <c r="F109" s="29">
        <v>3013.2</v>
      </c>
      <c r="G109" s="28">
        <v>3103.59</v>
      </c>
      <c r="H109" s="28">
        <v>3073.4639999999999</v>
      </c>
      <c r="I109" s="138">
        <v>60.264000000000124</v>
      </c>
      <c r="J109" s="245">
        <v>2.0000000000000018E-2</v>
      </c>
      <c r="K109" s="241"/>
      <c r="M109" s="30" t="s">
        <v>209</v>
      </c>
      <c r="N109" s="31">
        <f t="shared" si="1"/>
        <v>60.26</v>
      </c>
    </row>
    <row r="110" spans="1:14" x14ac:dyDescent="0.2">
      <c r="A110" s="32" t="s">
        <v>81</v>
      </c>
      <c r="B110" s="37" t="s">
        <v>82</v>
      </c>
      <c r="C110" s="34">
        <v>300</v>
      </c>
      <c r="D110" s="35">
        <v>300</v>
      </c>
      <c r="E110" s="100">
        <v>300</v>
      </c>
      <c r="F110" s="36">
        <v>300</v>
      </c>
      <c r="G110" s="35">
        <v>300</v>
      </c>
      <c r="H110" s="137">
        <v>300</v>
      </c>
      <c r="I110" s="137">
        <v>0</v>
      </c>
      <c r="J110" s="244">
        <v>0</v>
      </c>
      <c r="K110" s="241"/>
      <c r="M110" s="30"/>
      <c r="N110" s="31">
        <f t="shared" si="1"/>
        <v>0</v>
      </c>
    </row>
    <row r="111" spans="1:14" x14ac:dyDescent="0.2">
      <c r="A111" s="25" t="s">
        <v>277</v>
      </c>
      <c r="B111" s="26" t="s">
        <v>404</v>
      </c>
      <c r="C111" s="27"/>
      <c r="D111" s="28"/>
      <c r="E111" s="7"/>
      <c r="F111" s="29">
        <v>800</v>
      </c>
      <c r="G111" s="28">
        <v>800</v>
      </c>
      <c r="H111" s="138">
        <v>800</v>
      </c>
      <c r="I111" s="138">
        <v>0</v>
      </c>
      <c r="J111" s="245">
        <v>0</v>
      </c>
      <c r="K111" s="241"/>
      <c r="M111" s="30"/>
      <c r="N111" s="31">
        <f t="shared" si="1"/>
        <v>0</v>
      </c>
    </row>
    <row r="112" spans="1:14" ht="15" x14ac:dyDescent="0.25">
      <c r="A112" s="32" t="s">
        <v>278</v>
      </c>
      <c r="B112" s="37" t="s">
        <v>80</v>
      </c>
      <c r="C112" s="34">
        <v>800</v>
      </c>
      <c r="D112" s="35">
        <v>400</v>
      </c>
      <c r="E112" s="102">
        <v>400</v>
      </c>
      <c r="F112" s="36">
        <v>400</v>
      </c>
      <c r="G112" s="35">
        <v>400</v>
      </c>
      <c r="H112" s="137">
        <v>400</v>
      </c>
      <c r="I112" s="137">
        <v>0</v>
      </c>
      <c r="J112" s="244">
        <v>0</v>
      </c>
      <c r="K112" s="241"/>
      <c r="M112" s="30"/>
      <c r="N112" s="31">
        <f t="shared" si="1"/>
        <v>0</v>
      </c>
    </row>
    <row r="113" spans="1:14" ht="15" x14ac:dyDescent="0.25">
      <c r="A113" s="38"/>
      <c r="B113" s="43" t="s">
        <v>103</v>
      </c>
      <c r="C113" s="39">
        <v>3996.26</v>
      </c>
      <c r="D113" s="93">
        <v>3668.6664999999998</v>
      </c>
      <c r="E113" s="101">
        <v>3757.73</v>
      </c>
      <c r="F113" s="115">
        <v>4513.2</v>
      </c>
      <c r="G113" s="93">
        <v>4603.59</v>
      </c>
      <c r="H113" s="93">
        <v>4573.4639999999999</v>
      </c>
      <c r="I113" s="144">
        <v>60.264000000000124</v>
      </c>
      <c r="J113" s="245">
        <v>1.3352831693698608E-2</v>
      </c>
      <c r="K113" s="241"/>
      <c r="M113" s="30"/>
      <c r="N113" s="31">
        <f t="shared" si="1"/>
        <v>0</v>
      </c>
    </row>
    <row r="114" spans="1:14" ht="15" x14ac:dyDescent="0.25">
      <c r="A114" s="63" t="s">
        <v>254</v>
      </c>
      <c r="B114" s="47"/>
      <c r="C114" s="48"/>
      <c r="D114" s="49"/>
      <c r="E114" s="48"/>
      <c r="F114" s="50"/>
      <c r="G114" s="50"/>
      <c r="H114" s="50"/>
      <c r="I114" s="141"/>
      <c r="J114" s="245"/>
      <c r="K114" s="241"/>
      <c r="M114" s="30"/>
      <c r="N114" s="31">
        <f t="shared" si="1"/>
        <v>0</v>
      </c>
    </row>
    <row r="115" spans="1:14" ht="15" x14ac:dyDescent="0.25">
      <c r="A115" s="51" t="s">
        <v>83</v>
      </c>
      <c r="B115" s="52" t="s">
        <v>84</v>
      </c>
      <c r="C115" s="27">
        <v>2500</v>
      </c>
      <c r="D115" s="28">
        <v>2500</v>
      </c>
      <c r="E115" s="101">
        <v>2500</v>
      </c>
      <c r="F115" s="40">
        <v>2500</v>
      </c>
      <c r="G115" s="28">
        <v>3500</v>
      </c>
      <c r="H115" s="28">
        <v>3500</v>
      </c>
      <c r="I115" s="138">
        <v>1000</v>
      </c>
      <c r="J115" s="245">
        <v>0.39999999999999991</v>
      </c>
      <c r="K115" s="241"/>
      <c r="M115" s="30"/>
      <c r="N115" s="31">
        <f t="shared" si="1"/>
        <v>0</v>
      </c>
    </row>
    <row r="116" spans="1:14" ht="15" x14ac:dyDescent="0.25">
      <c r="A116" s="53" t="s">
        <v>443</v>
      </c>
      <c r="B116" s="54" t="s">
        <v>85</v>
      </c>
      <c r="C116" s="34">
        <v>500</v>
      </c>
      <c r="D116" s="35">
        <v>500</v>
      </c>
      <c r="E116" s="102">
        <v>500</v>
      </c>
      <c r="F116" s="56">
        <v>500</v>
      </c>
      <c r="G116" s="35">
        <v>500</v>
      </c>
      <c r="H116" s="35">
        <v>500</v>
      </c>
      <c r="I116" s="137">
        <v>0</v>
      </c>
      <c r="J116" s="244">
        <v>0</v>
      </c>
      <c r="K116" s="241"/>
      <c r="M116" s="30"/>
      <c r="N116" s="31">
        <f t="shared" si="1"/>
        <v>0</v>
      </c>
    </row>
    <row r="117" spans="1:14" ht="15" x14ac:dyDescent="0.25">
      <c r="A117" s="38"/>
      <c r="B117" s="43" t="s">
        <v>103</v>
      </c>
      <c r="C117" s="39">
        <v>3000</v>
      </c>
      <c r="D117" s="93">
        <v>3000</v>
      </c>
      <c r="E117" s="101">
        <v>3000</v>
      </c>
      <c r="F117" s="115">
        <v>3000</v>
      </c>
      <c r="G117" s="93">
        <v>4000</v>
      </c>
      <c r="H117" s="93">
        <v>4000</v>
      </c>
      <c r="I117" s="144">
        <v>1000</v>
      </c>
      <c r="J117" s="245">
        <v>0.33333333333333326</v>
      </c>
      <c r="K117" s="241"/>
      <c r="M117" s="30"/>
      <c r="N117" s="31">
        <f t="shared" si="1"/>
        <v>0</v>
      </c>
    </row>
    <row r="118" spans="1:14" ht="15" outlineLevel="1" x14ac:dyDescent="0.25">
      <c r="A118" s="63" t="s">
        <v>255</v>
      </c>
      <c r="B118" s="47"/>
      <c r="C118" s="48"/>
      <c r="D118" s="49"/>
      <c r="E118" s="48"/>
      <c r="F118" s="50"/>
      <c r="G118" s="50"/>
      <c r="H118" s="50"/>
      <c r="I118" s="141"/>
      <c r="J118" s="245"/>
      <c r="K118" s="241"/>
      <c r="M118" s="30"/>
      <c r="N118" s="31">
        <f t="shared" si="1"/>
        <v>0</v>
      </c>
    </row>
    <row r="119" spans="1:14" outlineLevel="1" x14ac:dyDescent="0.2">
      <c r="A119" s="25" t="s">
        <v>86</v>
      </c>
      <c r="B119" s="52" t="s">
        <v>87</v>
      </c>
      <c r="C119" s="27">
        <v>42520</v>
      </c>
      <c r="D119" s="28">
        <v>42520</v>
      </c>
      <c r="E119" s="7">
        <v>45866</v>
      </c>
      <c r="F119" s="29">
        <v>45866</v>
      </c>
      <c r="G119" s="28">
        <v>42548</v>
      </c>
      <c r="H119" s="28">
        <v>42548</v>
      </c>
      <c r="I119" s="138">
        <v>-3318</v>
      </c>
      <c r="J119" s="245">
        <v>-7.2341167749531254E-2</v>
      </c>
      <c r="K119" s="241"/>
      <c r="M119" s="30"/>
      <c r="N119" s="31">
        <f t="shared" si="1"/>
        <v>0</v>
      </c>
    </row>
    <row r="120" spans="1:14" outlineLevel="1" x14ac:dyDescent="0.2">
      <c r="A120" s="32" t="s">
        <v>86</v>
      </c>
      <c r="B120" s="37" t="s">
        <v>88</v>
      </c>
      <c r="C120" s="34">
        <v>961022</v>
      </c>
      <c r="D120" s="35">
        <v>961022</v>
      </c>
      <c r="E120" s="100">
        <v>973943</v>
      </c>
      <c r="F120" s="36">
        <v>973943</v>
      </c>
      <c r="G120" s="35">
        <v>981949</v>
      </c>
      <c r="H120" s="35">
        <v>981949</v>
      </c>
      <c r="I120" s="137">
        <v>8006</v>
      </c>
      <c r="J120" s="244">
        <v>8.2201935842241003E-3</v>
      </c>
      <c r="K120" s="241"/>
      <c r="M120" s="30"/>
      <c r="N120" s="31">
        <f t="shared" si="1"/>
        <v>0</v>
      </c>
    </row>
    <row r="121" spans="1:14" outlineLevel="1" x14ac:dyDescent="0.2">
      <c r="A121" s="25" t="s">
        <v>86</v>
      </c>
      <c r="B121" s="26" t="s">
        <v>2</v>
      </c>
      <c r="C121" s="27">
        <v>45721</v>
      </c>
      <c r="D121" s="28">
        <v>45721</v>
      </c>
      <c r="E121" s="7">
        <v>46715</v>
      </c>
      <c r="F121" s="29">
        <v>46715</v>
      </c>
      <c r="G121" s="28">
        <v>47636</v>
      </c>
      <c r="H121" s="28">
        <v>47636</v>
      </c>
      <c r="I121" s="138">
        <v>921</v>
      </c>
      <c r="J121" s="245">
        <v>1.9715294873167144E-2</v>
      </c>
      <c r="K121" s="241"/>
      <c r="M121" s="30"/>
      <c r="N121" s="31">
        <f t="shared" si="1"/>
        <v>0</v>
      </c>
    </row>
    <row r="122" spans="1:14" outlineLevel="1" x14ac:dyDescent="0.2">
      <c r="A122" s="32" t="s">
        <v>86</v>
      </c>
      <c r="B122" s="37" t="s">
        <v>3</v>
      </c>
      <c r="C122" s="34">
        <v>52332</v>
      </c>
      <c r="D122" s="35">
        <v>52332</v>
      </c>
      <c r="E122" s="100">
        <v>55700</v>
      </c>
      <c r="F122" s="119">
        <v>55700</v>
      </c>
      <c r="G122" s="35">
        <v>56647</v>
      </c>
      <c r="H122" s="35">
        <v>56647</v>
      </c>
      <c r="I122" s="137">
        <v>947</v>
      </c>
      <c r="J122" s="244">
        <v>1.7001795332136416E-2</v>
      </c>
      <c r="K122" s="241"/>
      <c r="M122" s="30"/>
      <c r="N122" s="31">
        <f t="shared" si="1"/>
        <v>0</v>
      </c>
    </row>
    <row r="123" spans="1:14" ht="15" outlineLevel="1" x14ac:dyDescent="0.25">
      <c r="A123" s="25"/>
      <c r="B123" s="71" t="s">
        <v>4</v>
      </c>
      <c r="C123" s="39">
        <v>1101595</v>
      </c>
      <c r="D123" s="41">
        <v>1101595</v>
      </c>
      <c r="E123" s="101">
        <v>1122224</v>
      </c>
      <c r="F123" s="114">
        <v>1122224</v>
      </c>
      <c r="G123" s="41">
        <v>1128780</v>
      </c>
      <c r="H123" s="41">
        <v>1128780</v>
      </c>
      <c r="I123" s="139">
        <v>6556</v>
      </c>
      <c r="J123" s="245">
        <v>5.8419709434123224E-3</v>
      </c>
      <c r="K123" s="241"/>
      <c r="M123" s="30"/>
      <c r="N123" s="31">
        <f t="shared" si="1"/>
        <v>0</v>
      </c>
    </row>
    <row r="124" spans="1:14" outlineLevel="1" x14ac:dyDescent="0.2">
      <c r="A124" s="32" t="s">
        <v>86</v>
      </c>
      <c r="B124" s="37" t="s">
        <v>5</v>
      </c>
      <c r="C124" s="34">
        <v>16000</v>
      </c>
      <c r="D124" s="35">
        <v>16000</v>
      </c>
      <c r="E124" s="100">
        <v>18000</v>
      </c>
      <c r="F124" s="119">
        <v>18000</v>
      </c>
      <c r="G124" s="35">
        <v>21000</v>
      </c>
      <c r="H124" s="35">
        <v>21000</v>
      </c>
      <c r="I124" s="137">
        <v>3000</v>
      </c>
      <c r="J124" s="244">
        <v>0.16666666666666674</v>
      </c>
      <c r="K124" s="241"/>
      <c r="M124" s="30"/>
      <c r="N124" s="31">
        <f t="shared" si="1"/>
        <v>0</v>
      </c>
    </row>
    <row r="125" spans="1:14" outlineLevel="1" x14ac:dyDescent="0.2">
      <c r="A125" s="25" t="s">
        <v>86</v>
      </c>
      <c r="B125" s="26" t="s">
        <v>6</v>
      </c>
      <c r="C125" s="27">
        <v>18000</v>
      </c>
      <c r="D125" s="28">
        <v>18000</v>
      </c>
      <c r="E125" s="7">
        <v>15000</v>
      </c>
      <c r="F125" s="120">
        <v>15000</v>
      </c>
      <c r="G125" s="28">
        <v>16000</v>
      </c>
      <c r="H125" s="28">
        <v>16000</v>
      </c>
      <c r="I125" s="138">
        <v>1000</v>
      </c>
      <c r="J125" s="245">
        <v>6.6666666666666652E-2</v>
      </c>
      <c r="K125" s="241"/>
      <c r="M125" s="30"/>
      <c r="N125" s="31">
        <f t="shared" si="1"/>
        <v>0</v>
      </c>
    </row>
    <row r="126" spans="1:14" outlineLevel="1" x14ac:dyDescent="0.2">
      <c r="A126" s="32" t="s">
        <v>86</v>
      </c>
      <c r="B126" s="37" t="s">
        <v>7</v>
      </c>
      <c r="C126" s="34">
        <v>3500</v>
      </c>
      <c r="D126" s="35">
        <v>3500</v>
      </c>
      <c r="E126" s="100">
        <v>3300</v>
      </c>
      <c r="F126" s="119">
        <v>3300</v>
      </c>
      <c r="G126" s="35">
        <v>3300</v>
      </c>
      <c r="H126" s="35">
        <v>3300</v>
      </c>
      <c r="I126" s="137">
        <v>0</v>
      </c>
      <c r="J126" s="244">
        <v>0</v>
      </c>
      <c r="K126" s="241"/>
      <c r="M126" s="30"/>
      <c r="N126" s="31">
        <f t="shared" si="1"/>
        <v>0</v>
      </c>
    </row>
    <row r="127" spans="1:14" outlineLevel="1" x14ac:dyDescent="0.2">
      <c r="A127" s="25" t="s">
        <v>86</v>
      </c>
      <c r="B127" s="52" t="s">
        <v>8</v>
      </c>
      <c r="C127" s="27">
        <v>2900</v>
      </c>
      <c r="D127" s="28">
        <v>2900</v>
      </c>
      <c r="E127" s="7">
        <v>4900</v>
      </c>
      <c r="F127" s="120">
        <v>4900</v>
      </c>
      <c r="G127" s="28">
        <v>2000</v>
      </c>
      <c r="H127" s="28">
        <v>2000</v>
      </c>
      <c r="I127" s="138">
        <v>-2900</v>
      </c>
      <c r="J127" s="245">
        <v>-0.59183673469387754</v>
      </c>
      <c r="K127" s="241"/>
      <c r="M127" s="30"/>
      <c r="N127" s="31">
        <f t="shared" si="1"/>
        <v>0</v>
      </c>
    </row>
    <row r="128" spans="1:14" outlineLevel="1" x14ac:dyDescent="0.2">
      <c r="A128" s="32" t="s">
        <v>86</v>
      </c>
      <c r="B128" s="37" t="s">
        <v>9</v>
      </c>
      <c r="C128" s="34">
        <v>16000</v>
      </c>
      <c r="D128" s="35">
        <v>16000</v>
      </c>
      <c r="E128" s="100">
        <v>0</v>
      </c>
      <c r="F128" s="119">
        <v>0</v>
      </c>
      <c r="G128" s="35">
        <v>16000</v>
      </c>
      <c r="H128" s="35">
        <v>16000</v>
      </c>
      <c r="I128" s="137">
        <v>16000</v>
      </c>
      <c r="J128" s="244"/>
      <c r="K128" s="241"/>
      <c r="M128" s="30"/>
      <c r="N128" s="31">
        <f t="shared" si="1"/>
        <v>0</v>
      </c>
    </row>
    <row r="129" spans="1:14" outlineLevel="1" x14ac:dyDescent="0.2">
      <c r="A129" s="25" t="s">
        <v>86</v>
      </c>
      <c r="B129" s="26" t="s">
        <v>10</v>
      </c>
      <c r="C129" s="27">
        <v>54282</v>
      </c>
      <c r="D129" s="28">
        <v>54282</v>
      </c>
      <c r="E129" s="7">
        <v>62514</v>
      </c>
      <c r="F129" s="120">
        <v>62514</v>
      </c>
      <c r="G129" s="28">
        <v>137358</v>
      </c>
      <c r="H129" s="28">
        <v>137358</v>
      </c>
      <c r="I129" s="138">
        <v>74844</v>
      </c>
      <c r="J129" s="245">
        <v>1.1972358191765045</v>
      </c>
      <c r="K129" s="241"/>
      <c r="M129" s="30"/>
      <c r="N129" s="31">
        <f t="shared" si="1"/>
        <v>0</v>
      </c>
    </row>
    <row r="130" spans="1:14" outlineLevel="1" x14ac:dyDescent="0.2">
      <c r="A130" s="32" t="s">
        <v>86</v>
      </c>
      <c r="B130" s="37" t="s">
        <v>11</v>
      </c>
      <c r="C130" s="34">
        <v>74250</v>
      </c>
      <c r="D130" s="35">
        <v>74250</v>
      </c>
      <c r="E130" s="100">
        <v>74250</v>
      </c>
      <c r="F130" s="119">
        <v>74250</v>
      </c>
      <c r="G130" s="35">
        <v>86130</v>
      </c>
      <c r="H130" s="35">
        <v>86130</v>
      </c>
      <c r="I130" s="137">
        <v>11880</v>
      </c>
      <c r="J130" s="244">
        <v>0.15999999999999992</v>
      </c>
      <c r="K130" s="241"/>
      <c r="M130" s="30"/>
      <c r="N130" s="31">
        <f t="shared" si="1"/>
        <v>0</v>
      </c>
    </row>
    <row r="131" spans="1:14" outlineLevel="1" x14ac:dyDescent="0.2">
      <c r="A131" s="25" t="s">
        <v>86</v>
      </c>
      <c r="B131" s="26" t="s">
        <v>12</v>
      </c>
      <c r="C131" s="27">
        <v>74000</v>
      </c>
      <c r="D131" s="28">
        <v>74000</v>
      </c>
      <c r="E131" s="7">
        <v>60000</v>
      </c>
      <c r="F131" s="120">
        <v>60000</v>
      </c>
      <c r="G131" s="28">
        <v>50000</v>
      </c>
      <c r="H131" s="28">
        <v>50000</v>
      </c>
      <c r="I131" s="138">
        <v>-10000</v>
      </c>
      <c r="J131" s="245">
        <v>-0.16666666666666663</v>
      </c>
      <c r="K131" s="241"/>
      <c r="M131" s="30"/>
      <c r="N131" s="31">
        <f t="shared" si="1"/>
        <v>0</v>
      </c>
    </row>
    <row r="132" spans="1:14" outlineLevel="1" x14ac:dyDescent="0.2">
      <c r="A132" s="32" t="s">
        <v>86</v>
      </c>
      <c r="B132" s="37" t="s">
        <v>106</v>
      </c>
      <c r="C132" s="34">
        <v>1500</v>
      </c>
      <c r="D132" s="35">
        <v>1500</v>
      </c>
      <c r="E132" s="100">
        <v>3000</v>
      </c>
      <c r="F132" s="119">
        <v>3000</v>
      </c>
      <c r="G132" s="35">
        <v>1000</v>
      </c>
      <c r="H132" s="35">
        <v>1000</v>
      </c>
      <c r="I132" s="137">
        <v>-2000</v>
      </c>
      <c r="J132" s="244">
        <v>-0.66666666666666674</v>
      </c>
      <c r="K132" s="241"/>
      <c r="M132" s="30"/>
      <c r="N132" s="31">
        <f t="shared" si="1"/>
        <v>0</v>
      </c>
    </row>
    <row r="133" spans="1:14" outlineLevel="1" x14ac:dyDescent="0.2">
      <c r="A133" s="25" t="s">
        <v>86</v>
      </c>
      <c r="B133" s="26" t="s">
        <v>107</v>
      </c>
      <c r="C133" s="27">
        <v>4559</v>
      </c>
      <c r="D133" s="28">
        <v>4559</v>
      </c>
      <c r="E133" s="7">
        <v>4817</v>
      </c>
      <c r="F133" s="120">
        <v>4817</v>
      </c>
      <c r="G133" s="28">
        <v>4359</v>
      </c>
      <c r="H133" s="28">
        <v>4359</v>
      </c>
      <c r="I133" s="138">
        <v>-458</v>
      </c>
      <c r="J133" s="245">
        <v>-9.5079925264687559E-2</v>
      </c>
      <c r="K133" s="241"/>
      <c r="M133" s="30"/>
      <c r="N133" s="31">
        <f t="shared" si="1"/>
        <v>0</v>
      </c>
    </row>
    <row r="134" spans="1:14" ht="15" outlineLevel="1" x14ac:dyDescent="0.25">
      <c r="A134" s="32"/>
      <c r="B134" s="72" t="s">
        <v>108</v>
      </c>
      <c r="C134" s="59">
        <v>264991</v>
      </c>
      <c r="D134" s="42">
        <v>264991</v>
      </c>
      <c r="E134" s="102">
        <v>245781</v>
      </c>
      <c r="F134" s="117">
        <v>245781</v>
      </c>
      <c r="G134" s="42">
        <v>337147</v>
      </c>
      <c r="H134" s="42">
        <v>337147</v>
      </c>
      <c r="I134" s="142">
        <v>91366</v>
      </c>
      <c r="J134" s="244">
        <v>0.37173744105524831</v>
      </c>
      <c r="K134" s="241"/>
      <c r="M134" s="30"/>
      <c r="N134" s="31">
        <f t="shared" ref="N134:N197" si="2">ROUND(IF(M134="Y",F134*$P$1,0),2)</f>
        <v>0</v>
      </c>
    </row>
    <row r="135" spans="1:14" outlineLevel="1" x14ac:dyDescent="0.2">
      <c r="A135" s="25" t="s">
        <v>86</v>
      </c>
      <c r="B135" s="26" t="s">
        <v>109</v>
      </c>
      <c r="C135" s="27">
        <v>12432</v>
      </c>
      <c r="D135" s="28">
        <v>12432</v>
      </c>
      <c r="E135" s="7">
        <v>9349</v>
      </c>
      <c r="F135" s="29">
        <v>9349</v>
      </c>
      <c r="G135" s="28">
        <v>5499</v>
      </c>
      <c r="H135" s="28">
        <v>5499</v>
      </c>
      <c r="I135" s="138">
        <v>-3850</v>
      </c>
      <c r="J135" s="245">
        <v>-0.41180874959888758</v>
      </c>
      <c r="K135" s="241"/>
      <c r="M135" s="30"/>
      <c r="N135" s="31">
        <f t="shared" si="2"/>
        <v>0</v>
      </c>
    </row>
    <row r="136" spans="1:14" outlineLevel="1" x14ac:dyDescent="0.2">
      <c r="A136" s="32" t="s">
        <v>86</v>
      </c>
      <c r="B136" s="37" t="s">
        <v>110</v>
      </c>
      <c r="C136" s="34">
        <v>18051</v>
      </c>
      <c r="D136" s="35">
        <v>18051</v>
      </c>
      <c r="E136" s="100">
        <v>14050</v>
      </c>
      <c r="F136" s="36">
        <v>14050</v>
      </c>
      <c r="G136" s="35">
        <v>13110</v>
      </c>
      <c r="H136" s="35">
        <v>13110</v>
      </c>
      <c r="I136" s="137">
        <v>-940</v>
      </c>
      <c r="J136" s="244">
        <v>-6.6903914590747293E-2</v>
      </c>
      <c r="K136" s="241"/>
      <c r="M136" s="30"/>
      <c r="N136" s="31">
        <f t="shared" si="2"/>
        <v>0</v>
      </c>
    </row>
    <row r="137" spans="1:14" outlineLevel="1" x14ac:dyDescent="0.2">
      <c r="A137" s="25" t="s">
        <v>86</v>
      </c>
      <c r="B137" s="26" t="s">
        <v>111</v>
      </c>
      <c r="C137" s="27">
        <v>31000</v>
      </c>
      <c r="D137" s="28">
        <v>31000</v>
      </c>
      <c r="E137" s="7">
        <v>21000</v>
      </c>
      <c r="F137" s="29">
        <v>21000</v>
      </c>
      <c r="G137" s="28">
        <v>12000</v>
      </c>
      <c r="H137" s="28">
        <v>12000</v>
      </c>
      <c r="I137" s="138">
        <v>-9000</v>
      </c>
      <c r="J137" s="245">
        <v>-0.4285714285714286</v>
      </c>
      <c r="K137" s="241"/>
      <c r="M137" s="30"/>
      <c r="N137" s="31">
        <f t="shared" si="2"/>
        <v>0</v>
      </c>
    </row>
    <row r="138" spans="1:14" outlineLevel="1" x14ac:dyDescent="0.2">
      <c r="A138" s="32" t="s">
        <v>86</v>
      </c>
      <c r="B138" s="37" t="s">
        <v>112</v>
      </c>
      <c r="C138" s="34">
        <v>7278</v>
      </c>
      <c r="D138" s="35">
        <v>7278</v>
      </c>
      <c r="E138" s="100">
        <v>8058</v>
      </c>
      <c r="F138" s="36">
        <v>8058</v>
      </c>
      <c r="G138" s="35">
        <v>8252</v>
      </c>
      <c r="H138" s="35">
        <v>8252</v>
      </c>
      <c r="I138" s="137">
        <v>194</v>
      </c>
      <c r="J138" s="244">
        <v>2.4075452965996558E-2</v>
      </c>
      <c r="K138" s="241"/>
      <c r="M138" s="30"/>
      <c r="N138" s="31">
        <f t="shared" si="2"/>
        <v>0</v>
      </c>
    </row>
    <row r="139" spans="1:14" outlineLevel="1" x14ac:dyDescent="0.2">
      <c r="A139" s="25" t="s">
        <v>86</v>
      </c>
      <c r="B139" s="26" t="s">
        <v>113</v>
      </c>
      <c r="C139" s="27">
        <v>10450</v>
      </c>
      <c r="D139" s="28">
        <v>10450</v>
      </c>
      <c r="E139" s="7">
        <v>7875</v>
      </c>
      <c r="F139" s="29">
        <v>7875</v>
      </c>
      <c r="G139" s="28">
        <v>7925</v>
      </c>
      <c r="H139" s="28">
        <v>7925</v>
      </c>
      <c r="I139" s="138">
        <v>50</v>
      </c>
      <c r="J139" s="245">
        <v>6.3492063492063266E-3</v>
      </c>
      <c r="K139" s="241"/>
      <c r="M139" s="30"/>
      <c r="N139" s="31">
        <f t="shared" si="2"/>
        <v>0</v>
      </c>
    </row>
    <row r="140" spans="1:14" outlineLevel="1" x14ac:dyDescent="0.2">
      <c r="A140" s="32" t="s">
        <v>86</v>
      </c>
      <c r="B140" s="37" t="s">
        <v>114</v>
      </c>
      <c r="C140" s="34">
        <v>0</v>
      </c>
      <c r="D140" s="35">
        <v>0</v>
      </c>
      <c r="E140" s="100">
        <v>0</v>
      </c>
      <c r="F140" s="36">
        <v>0</v>
      </c>
      <c r="G140" s="35"/>
      <c r="H140" s="35"/>
      <c r="I140" s="137">
        <v>0</v>
      </c>
      <c r="J140" s="244"/>
      <c r="K140" s="241"/>
      <c r="M140" s="30"/>
      <c r="N140" s="31">
        <f t="shared" si="2"/>
        <v>0</v>
      </c>
    </row>
    <row r="141" spans="1:14" outlineLevel="1" x14ac:dyDescent="0.2">
      <c r="A141" s="25" t="s">
        <v>86</v>
      </c>
      <c r="B141" s="26" t="s">
        <v>115</v>
      </c>
      <c r="C141" s="27">
        <v>0</v>
      </c>
      <c r="D141" s="28">
        <v>0</v>
      </c>
      <c r="E141" s="7">
        <v>0</v>
      </c>
      <c r="F141" s="29">
        <v>0</v>
      </c>
      <c r="G141" s="28">
        <v>457</v>
      </c>
      <c r="H141" s="28">
        <v>457</v>
      </c>
      <c r="I141" s="138">
        <v>457</v>
      </c>
      <c r="J141" s="245"/>
      <c r="K141" s="241"/>
      <c r="M141" s="30"/>
      <c r="N141" s="31">
        <f t="shared" si="2"/>
        <v>0</v>
      </c>
    </row>
    <row r="142" spans="1:14" outlineLevel="1" x14ac:dyDescent="0.2">
      <c r="A142" s="32" t="s">
        <v>86</v>
      </c>
      <c r="B142" s="37" t="s">
        <v>116</v>
      </c>
      <c r="C142" s="34">
        <v>30600</v>
      </c>
      <c r="D142" s="35">
        <v>30600</v>
      </c>
      <c r="E142" s="100">
        <v>31508</v>
      </c>
      <c r="F142" s="36">
        <v>31508</v>
      </c>
      <c r="G142" s="35">
        <v>32765</v>
      </c>
      <c r="H142" s="35">
        <v>32765</v>
      </c>
      <c r="I142" s="137">
        <v>1257</v>
      </c>
      <c r="J142" s="244">
        <v>3.98946299352545E-2</v>
      </c>
      <c r="K142" s="241"/>
      <c r="M142" s="30"/>
      <c r="N142" s="31">
        <f t="shared" si="2"/>
        <v>0</v>
      </c>
    </row>
    <row r="143" spans="1:14" outlineLevel="1" x14ac:dyDescent="0.2">
      <c r="A143" s="25" t="s">
        <v>86</v>
      </c>
      <c r="B143" s="26" t="s">
        <v>117</v>
      </c>
      <c r="C143" s="27">
        <v>3500</v>
      </c>
      <c r="D143" s="28">
        <v>3500</v>
      </c>
      <c r="E143" s="7">
        <v>3500</v>
      </c>
      <c r="F143" s="29">
        <v>3500</v>
      </c>
      <c r="G143" s="28">
        <v>1500</v>
      </c>
      <c r="H143" s="28">
        <v>1500</v>
      </c>
      <c r="I143" s="138">
        <v>-2000</v>
      </c>
      <c r="J143" s="245">
        <v>-0.5714285714285714</v>
      </c>
      <c r="K143" s="241"/>
      <c r="M143" s="30"/>
      <c r="N143" s="31">
        <f t="shared" si="2"/>
        <v>0</v>
      </c>
    </row>
    <row r="144" spans="1:14" ht="15" outlineLevel="1" x14ac:dyDescent="0.25">
      <c r="A144" s="32"/>
      <c r="B144" s="72" t="s">
        <v>118</v>
      </c>
      <c r="C144" s="59">
        <v>113311</v>
      </c>
      <c r="D144" s="42">
        <v>113311</v>
      </c>
      <c r="E144" s="102">
        <v>95340</v>
      </c>
      <c r="F144" s="117">
        <v>95340</v>
      </c>
      <c r="G144" s="42">
        <v>81508</v>
      </c>
      <c r="H144" s="42">
        <v>81508</v>
      </c>
      <c r="I144" s="142">
        <v>-13832</v>
      </c>
      <c r="J144" s="244">
        <v>-0.14508076358296618</v>
      </c>
      <c r="K144" s="241"/>
      <c r="M144" s="30"/>
      <c r="N144" s="31">
        <f t="shared" si="2"/>
        <v>0</v>
      </c>
    </row>
    <row r="145" spans="1:15" outlineLevel="1" x14ac:dyDescent="0.2">
      <c r="A145" s="51" t="s">
        <v>86</v>
      </c>
      <c r="B145" s="52" t="s">
        <v>119</v>
      </c>
      <c r="C145" s="27"/>
      <c r="D145" s="112"/>
      <c r="E145" s="113"/>
      <c r="F145" s="118"/>
      <c r="G145" s="28">
        <v>-40000</v>
      </c>
      <c r="H145" s="28">
        <v>-40000</v>
      </c>
      <c r="I145" s="138">
        <v>-40000</v>
      </c>
      <c r="J145" s="245"/>
      <c r="K145" s="241"/>
      <c r="M145" s="30"/>
      <c r="N145" s="31">
        <f t="shared" si="2"/>
        <v>0</v>
      </c>
    </row>
    <row r="146" spans="1:15" ht="15" x14ac:dyDescent="0.25">
      <c r="A146" s="57" t="s">
        <v>86</v>
      </c>
      <c r="B146" s="60" t="s">
        <v>120</v>
      </c>
      <c r="C146" s="59">
        <v>1479897</v>
      </c>
      <c r="D146" s="94">
        <v>1479897</v>
      </c>
      <c r="E146" s="102">
        <v>1463345</v>
      </c>
      <c r="F146" s="116">
        <v>1463345</v>
      </c>
      <c r="G146" s="94">
        <v>1507435</v>
      </c>
      <c r="H146" s="94">
        <v>1507435</v>
      </c>
      <c r="I146" s="143">
        <v>44090</v>
      </c>
      <c r="J146" s="245">
        <v>3.0129600333482554E-2</v>
      </c>
      <c r="K146" s="241"/>
      <c r="M146" s="30"/>
      <c r="N146" s="31">
        <f t="shared" si="2"/>
        <v>0</v>
      </c>
    </row>
    <row r="147" spans="1:15" ht="15" x14ac:dyDescent="0.25">
      <c r="A147" s="63" t="s">
        <v>256</v>
      </c>
      <c r="B147" s="47"/>
      <c r="C147" s="48"/>
      <c r="D147" s="49"/>
      <c r="E147" s="48"/>
      <c r="F147" s="50"/>
      <c r="G147" s="50"/>
      <c r="H147" s="50"/>
      <c r="I147" s="141"/>
      <c r="J147" s="245"/>
      <c r="K147" s="241"/>
      <c r="M147" s="30"/>
      <c r="N147" s="31">
        <f t="shared" si="2"/>
        <v>0</v>
      </c>
    </row>
    <row r="148" spans="1:15" x14ac:dyDescent="0.2">
      <c r="A148" s="51" t="s">
        <v>121</v>
      </c>
      <c r="B148" s="52" t="s">
        <v>122</v>
      </c>
      <c r="C148" s="27">
        <v>620408</v>
      </c>
      <c r="D148" s="28">
        <v>620408</v>
      </c>
      <c r="E148" s="7">
        <v>653248</v>
      </c>
      <c r="F148" s="29">
        <v>653248</v>
      </c>
      <c r="G148" s="28">
        <v>709028</v>
      </c>
      <c r="H148" s="28">
        <v>709028</v>
      </c>
      <c r="I148" s="138">
        <v>55780</v>
      </c>
      <c r="J148" s="245">
        <v>8.5388703830704404E-2</v>
      </c>
      <c r="K148" s="241"/>
      <c r="M148" s="30"/>
      <c r="N148" s="31">
        <f t="shared" si="2"/>
        <v>0</v>
      </c>
    </row>
    <row r="149" spans="1:15" x14ac:dyDescent="0.2">
      <c r="A149" s="53" t="s">
        <v>125</v>
      </c>
      <c r="B149" s="54" t="s">
        <v>126</v>
      </c>
      <c r="C149" s="34">
        <v>64725</v>
      </c>
      <c r="D149" s="35">
        <v>64725</v>
      </c>
      <c r="E149" s="100">
        <v>53767</v>
      </c>
      <c r="F149" s="36">
        <v>53767</v>
      </c>
      <c r="G149" s="35">
        <v>46020</v>
      </c>
      <c r="H149" s="35">
        <v>46020</v>
      </c>
      <c r="I149" s="137">
        <v>-7747</v>
      </c>
      <c r="J149" s="244">
        <v>-0.14408466159540234</v>
      </c>
      <c r="K149" s="241"/>
      <c r="M149" s="30"/>
      <c r="N149" s="31">
        <f t="shared" si="2"/>
        <v>0</v>
      </c>
    </row>
    <row r="150" spans="1:15" x14ac:dyDescent="0.2">
      <c r="A150" s="51" t="s">
        <v>127</v>
      </c>
      <c r="B150" s="52" t="s">
        <v>128</v>
      </c>
      <c r="C150" s="27">
        <v>300</v>
      </c>
      <c r="D150" s="28">
        <v>300</v>
      </c>
      <c r="E150" s="7">
        <v>300</v>
      </c>
      <c r="F150" s="29">
        <v>300</v>
      </c>
      <c r="G150" s="28">
        <v>300</v>
      </c>
      <c r="H150" s="28">
        <v>300</v>
      </c>
      <c r="I150" s="138">
        <v>0</v>
      </c>
      <c r="J150" s="245">
        <v>0</v>
      </c>
      <c r="K150" s="241"/>
      <c r="M150" s="30"/>
      <c r="N150" s="31">
        <f t="shared" si="2"/>
        <v>0</v>
      </c>
    </row>
    <row r="151" spans="1:15" x14ac:dyDescent="0.2">
      <c r="A151" s="53" t="s">
        <v>129</v>
      </c>
      <c r="B151" s="54" t="s">
        <v>130</v>
      </c>
      <c r="C151" s="34">
        <v>100</v>
      </c>
      <c r="D151" s="35">
        <v>100</v>
      </c>
      <c r="E151" s="100">
        <v>100</v>
      </c>
      <c r="F151" s="36">
        <v>100</v>
      </c>
      <c r="G151" s="35">
        <v>100</v>
      </c>
      <c r="H151" s="35">
        <v>100</v>
      </c>
      <c r="I151" s="137">
        <v>0</v>
      </c>
      <c r="J151" s="244">
        <v>0</v>
      </c>
      <c r="K151" s="241"/>
      <c r="M151" s="30"/>
      <c r="N151" s="31">
        <f>ROUND(IF(M151="Y",F151*$P$1,0),2)</f>
        <v>0</v>
      </c>
    </row>
    <row r="152" spans="1:15" x14ac:dyDescent="0.2">
      <c r="A152" s="51" t="s">
        <v>123</v>
      </c>
      <c r="B152" s="111" t="s">
        <v>124</v>
      </c>
      <c r="C152" s="27">
        <v>45321</v>
      </c>
      <c r="D152" s="28">
        <v>45321</v>
      </c>
      <c r="E152" s="7">
        <v>40341</v>
      </c>
      <c r="F152" s="29">
        <v>40341</v>
      </c>
      <c r="G152" s="28">
        <v>43464</v>
      </c>
      <c r="H152" s="28">
        <v>43464</v>
      </c>
      <c r="I152" s="138">
        <v>3123</v>
      </c>
      <c r="J152" s="245">
        <v>7.7415036811184557E-2</v>
      </c>
      <c r="K152" s="241"/>
      <c r="M152" s="30"/>
      <c r="N152" s="31">
        <f>ROUND(IF(M152="Y",F152*$P$1,0),2)</f>
        <v>0</v>
      </c>
    </row>
    <row r="153" spans="1:15" ht="15" x14ac:dyDescent="0.25">
      <c r="A153" s="38"/>
      <c r="B153" s="43" t="s">
        <v>306</v>
      </c>
      <c r="C153" s="39">
        <v>730854</v>
      </c>
      <c r="D153" s="94">
        <v>730854</v>
      </c>
      <c r="E153" s="102">
        <v>747756</v>
      </c>
      <c r="F153" s="116">
        <v>747756</v>
      </c>
      <c r="G153" s="94">
        <v>798912</v>
      </c>
      <c r="H153" s="94">
        <v>798912</v>
      </c>
      <c r="I153" s="143">
        <v>51156</v>
      </c>
      <c r="J153" s="244">
        <v>6.8412690770786266E-2</v>
      </c>
      <c r="K153" s="241"/>
      <c r="M153" s="30"/>
      <c r="N153" s="31">
        <f t="shared" si="2"/>
        <v>0</v>
      </c>
    </row>
    <row r="154" spans="1:15" ht="15" x14ac:dyDescent="0.25">
      <c r="A154" s="38"/>
      <c r="B154" s="65" t="s">
        <v>131</v>
      </c>
      <c r="C154" s="39">
        <v>2210751</v>
      </c>
      <c r="D154" s="93">
        <v>2210751</v>
      </c>
      <c r="E154" s="101">
        <v>2211101</v>
      </c>
      <c r="F154" s="115">
        <v>2211101</v>
      </c>
      <c r="G154" s="93">
        <v>2306347</v>
      </c>
      <c r="H154" s="93">
        <v>2306347</v>
      </c>
      <c r="I154" s="144">
        <v>95246</v>
      </c>
      <c r="J154" s="245">
        <v>4.3076277383981898E-2</v>
      </c>
      <c r="K154" s="241"/>
      <c r="M154" s="30"/>
      <c r="N154" s="31">
        <f t="shared" si="2"/>
        <v>0</v>
      </c>
    </row>
    <row r="155" spans="1:15" ht="15" x14ac:dyDescent="0.25">
      <c r="A155" s="38"/>
      <c r="B155" s="43"/>
      <c r="C155" s="39"/>
      <c r="D155" s="55"/>
      <c r="E155" s="101"/>
      <c r="F155" s="40"/>
      <c r="G155" s="41"/>
      <c r="H155" s="41"/>
      <c r="I155" s="138"/>
      <c r="J155" s="245"/>
      <c r="K155" s="241"/>
      <c r="M155" s="30"/>
      <c r="N155" s="31">
        <f t="shared" si="2"/>
        <v>0</v>
      </c>
    </row>
    <row r="156" spans="1:15" ht="15" x14ac:dyDescent="0.25">
      <c r="A156" s="63" t="s">
        <v>297</v>
      </c>
      <c r="B156" s="47"/>
      <c r="C156" s="48"/>
      <c r="D156" s="49"/>
      <c r="E156" s="48"/>
      <c r="F156" s="50"/>
      <c r="G156" s="50"/>
      <c r="H156" s="50"/>
      <c r="I156" s="141"/>
      <c r="J156" s="245"/>
      <c r="K156" s="241"/>
      <c r="M156" s="30"/>
      <c r="N156" s="31">
        <f t="shared" si="2"/>
        <v>0</v>
      </c>
    </row>
    <row r="157" spans="1:15" x14ac:dyDescent="0.2">
      <c r="A157" s="25" t="s">
        <v>134</v>
      </c>
      <c r="B157" s="26" t="s">
        <v>135</v>
      </c>
      <c r="C157" s="27">
        <v>86909.84</v>
      </c>
      <c r="D157" s="28">
        <v>82293.19</v>
      </c>
      <c r="E157" s="7">
        <v>84761.98</v>
      </c>
      <c r="F157" s="29">
        <v>82293.19</v>
      </c>
      <c r="G157" s="28">
        <v>84761.98</v>
      </c>
      <c r="H157" s="28">
        <v>82293.19</v>
      </c>
      <c r="I157" s="138">
        <v>0</v>
      </c>
      <c r="J157" s="245">
        <v>0</v>
      </c>
      <c r="K157" s="241"/>
      <c r="M157" s="30" t="s">
        <v>401</v>
      </c>
      <c r="N157" s="31">
        <f t="shared" si="2"/>
        <v>0</v>
      </c>
      <c r="O157" s="184" t="s">
        <v>405</v>
      </c>
    </row>
    <row r="158" spans="1:15" x14ac:dyDescent="0.2">
      <c r="A158" s="32" t="s">
        <v>136</v>
      </c>
      <c r="B158" s="37" t="s">
        <v>137</v>
      </c>
      <c r="C158" s="34">
        <v>55128.72</v>
      </c>
      <c r="D158" s="35">
        <v>53816.159249999997</v>
      </c>
      <c r="E158" s="100">
        <v>55430.64</v>
      </c>
      <c r="F158" s="36">
        <v>53816.160000000003</v>
      </c>
      <c r="G158" s="35">
        <v>55430.64</v>
      </c>
      <c r="H158" s="35">
        <v>48000</v>
      </c>
      <c r="I158" s="137">
        <v>-5816.1600000000035</v>
      </c>
      <c r="J158" s="244">
        <v>-0.10807460064040253</v>
      </c>
      <c r="K158" s="241"/>
      <c r="M158" s="30" t="s">
        <v>401</v>
      </c>
      <c r="N158" s="31">
        <f t="shared" si="2"/>
        <v>0</v>
      </c>
      <c r="O158" s="185" t="s">
        <v>406</v>
      </c>
    </row>
    <row r="159" spans="1:15" x14ac:dyDescent="0.2">
      <c r="A159" s="25" t="s">
        <v>143</v>
      </c>
      <c r="B159" s="26" t="s">
        <v>144</v>
      </c>
      <c r="C159" s="27">
        <v>7000</v>
      </c>
      <c r="D159" s="28">
        <v>6700</v>
      </c>
      <c r="E159" s="7">
        <v>6700</v>
      </c>
      <c r="F159" s="29">
        <v>6700</v>
      </c>
      <c r="G159" s="28">
        <v>6901</v>
      </c>
      <c r="H159" s="28">
        <v>6700</v>
      </c>
      <c r="I159" s="138">
        <v>0</v>
      </c>
      <c r="J159" s="245">
        <v>0</v>
      </c>
      <c r="K159" s="241"/>
      <c r="M159" s="30"/>
      <c r="N159" s="31">
        <f t="shared" si="2"/>
        <v>0</v>
      </c>
    </row>
    <row r="160" spans="1:15" x14ac:dyDescent="0.2">
      <c r="A160" s="32" t="s">
        <v>138</v>
      </c>
      <c r="B160" s="33" t="s">
        <v>139</v>
      </c>
      <c r="C160" s="34">
        <v>14000</v>
      </c>
      <c r="D160" s="35">
        <v>14000</v>
      </c>
      <c r="E160" s="100">
        <v>14000</v>
      </c>
      <c r="F160" s="36">
        <v>14000</v>
      </c>
      <c r="G160" s="35">
        <v>14000</v>
      </c>
      <c r="H160" s="35">
        <v>14000</v>
      </c>
      <c r="I160" s="137">
        <v>0</v>
      </c>
      <c r="J160" s="245">
        <v>0</v>
      </c>
      <c r="K160" s="241"/>
      <c r="M160" s="30"/>
      <c r="N160" s="31">
        <f t="shared" si="2"/>
        <v>0</v>
      </c>
    </row>
    <row r="161" spans="1:14" x14ac:dyDescent="0.2">
      <c r="A161" s="25" t="s">
        <v>280</v>
      </c>
      <c r="B161" s="26" t="s">
        <v>14</v>
      </c>
      <c r="C161" s="27"/>
      <c r="D161" s="55"/>
      <c r="E161" s="7"/>
      <c r="F161" s="29">
        <v>2000</v>
      </c>
      <c r="G161" s="28">
        <v>2000</v>
      </c>
      <c r="H161" s="28">
        <v>2000</v>
      </c>
      <c r="I161" s="138">
        <v>0</v>
      </c>
      <c r="J161" s="243">
        <v>0</v>
      </c>
      <c r="K161" s="241"/>
      <c r="M161" s="30"/>
      <c r="N161" s="31">
        <f t="shared" si="2"/>
        <v>0</v>
      </c>
    </row>
    <row r="162" spans="1:14" x14ac:dyDescent="0.2">
      <c r="A162" s="53" t="s">
        <v>132</v>
      </c>
      <c r="B162" s="54" t="s">
        <v>407</v>
      </c>
      <c r="C162" s="34">
        <v>12000</v>
      </c>
      <c r="D162" s="35">
        <v>12000</v>
      </c>
      <c r="E162" s="100">
        <v>12000</v>
      </c>
      <c r="F162" s="36">
        <v>7835.85</v>
      </c>
      <c r="G162" s="35">
        <v>0</v>
      </c>
      <c r="H162" s="35">
        <v>300</v>
      </c>
      <c r="I162" s="137">
        <v>-7535.85</v>
      </c>
      <c r="J162" s="244">
        <v>-0.96171442791783912</v>
      </c>
      <c r="K162" s="241"/>
      <c r="M162" s="30"/>
      <c r="N162" s="31">
        <f t="shared" si="2"/>
        <v>0</v>
      </c>
    </row>
    <row r="163" spans="1:14" x14ac:dyDescent="0.2">
      <c r="A163" s="25" t="s">
        <v>133</v>
      </c>
      <c r="B163" s="26" t="s">
        <v>17</v>
      </c>
      <c r="C163" s="27">
        <v>12500</v>
      </c>
      <c r="D163" s="28">
        <v>12500</v>
      </c>
      <c r="E163" s="7">
        <v>12500</v>
      </c>
      <c r="F163" s="29">
        <v>12500</v>
      </c>
      <c r="G163" s="28">
        <v>12500</v>
      </c>
      <c r="H163" s="28">
        <v>12500</v>
      </c>
      <c r="I163" s="138">
        <v>0</v>
      </c>
      <c r="J163" s="245">
        <v>0</v>
      </c>
      <c r="K163" s="241"/>
      <c r="M163" s="30"/>
      <c r="N163" s="31">
        <f t="shared" si="2"/>
        <v>0</v>
      </c>
    </row>
    <row r="164" spans="1:14" x14ac:dyDescent="0.2">
      <c r="A164" s="32" t="s">
        <v>141</v>
      </c>
      <c r="B164" s="37" t="s">
        <v>142</v>
      </c>
      <c r="C164" s="34">
        <v>100</v>
      </c>
      <c r="D164" s="35">
        <v>100</v>
      </c>
      <c r="E164" s="100">
        <v>100</v>
      </c>
      <c r="F164" s="36">
        <v>100</v>
      </c>
      <c r="G164" s="35">
        <v>100</v>
      </c>
      <c r="H164" s="35">
        <v>100</v>
      </c>
      <c r="I164" s="137">
        <v>0</v>
      </c>
      <c r="J164" s="244">
        <v>0</v>
      </c>
      <c r="K164" s="241"/>
      <c r="M164" s="30"/>
      <c r="N164" s="31">
        <f t="shared" si="2"/>
        <v>0</v>
      </c>
    </row>
    <row r="165" spans="1:14" x14ac:dyDescent="0.2">
      <c r="A165" s="25" t="s">
        <v>145</v>
      </c>
      <c r="B165" s="26" t="s">
        <v>146</v>
      </c>
      <c r="C165" s="27">
        <v>27640</v>
      </c>
      <c r="D165" s="28">
        <v>27640</v>
      </c>
      <c r="E165" s="7">
        <v>27640</v>
      </c>
      <c r="F165" s="29">
        <v>27640</v>
      </c>
      <c r="G165" s="28">
        <v>34340</v>
      </c>
      <c r="H165" s="28">
        <v>27640</v>
      </c>
      <c r="I165" s="138">
        <v>0</v>
      </c>
      <c r="J165" s="245">
        <v>0</v>
      </c>
      <c r="K165" s="241"/>
      <c r="M165" s="30"/>
      <c r="N165" s="31">
        <f t="shared" si="2"/>
        <v>0</v>
      </c>
    </row>
    <row r="166" spans="1:14" x14ac:dyDescent="0.2">
      <c r="A166" s="32" t="s">
        <v>140</v>
      </c>
      <c r="B166" s="33" t="s">
        <v>13</v>
      </c>
      <c r="C166" s="34">
        <v>14000</v>
      </c>
      <c r="D166" s="35">
        <v>14000</v>
      </c>
      <c r="E166" s="100">
        <v>14000</v>
      </c>
      <c r="F166" s="36">
        <v>12000</v>
      </c>
      <c r="G166" s="35">
        <v>12000</v>
      </c>
      <c r="H166" s="35">
        <v>12000</v>
      </c>
      <c r="I166" s="137">
        <v>0</v>
      </c>
      <c r="J166" s="244">
        <v>0</v>
      </c>
      <c r="K166" s="241"/>
      <c r="M166" s="30"/>
      <c r="N166" s="31">
        <f t="shared" si="2"/>
        <v>0</v>
      </c>
    </row>
    <row r="167" spans="1:14" ht="15" x14ac:dyDescent="0.25">
      <c r="A167" s="1"/>
      <c r="B167" s="43" t="s">
        <v>103</v>
      </c>
      <c r="C167" s="39">
        <v>229278.56</v>
      </c>
      <c r="D167" s="93">
        <v>223049.34925</v>
      </c>
      <c r="E167" s="101">
        <v>227132.62</v>
      </c>
      <c r="F167" s="115">
        <v>218885.2</v>
      </c>
      <c r="G167" s="93">
        <v>222033.62</v>
      </c>
      <c r="H167" s="93">
        <v>205533.19</v>
      </c>
      <c r="I167" s="144">
        <v>-13352.010000000004</v>
      </c>
      <c r="J167" s="245">
        <v>-6.1000058478142938E-2</v>
      </c>
      <c r="K167" s="241"/>
      <c r="M167" s="30"/>
      <c r="N167" s="31">
        <f t="shared" si="2"/>
        <v>0</v>
      </c>
    </row>
    <row r="168" spans="1:14" ht="15" x14ac:dyDescent="0.25">
      <c r="A168" s="63" t="s">
        <v>294</v>
      </c>
      <c r="B168" s="47"/>
      <c r="C168" s="48"/>
      <c r="D168" s="49"/>
      <c r="E168" s="48"/>
      <c r="F168" s="50"/>
      <c r="G168" s="50"/>
      <c r="H168" s="50"/>
      <c r="I168" s="141"/>
      <c r="J168" s="245"/>
      <c r="K168" s="241"/>
      <c r="M168" s="30"/>
      <c r="N168" s="31">
        <f t="shared" si="2"/>
        <v>0</v>
      </c>
    </row>
    <row r="169" spans="1:14" x14ac:dyDescent="0.2">
      <c r="A169" s="25" t="s">
        <v>149</v>
      </c>
      <c r="B169" s="26" t="s">
        <v>311</v>
      </c>
      <c r="C169" s="34">
        <v>6000</v>
      </c>
      <c r="D169" s="28">
        <v>6000</v>
      </c>
      <c r="E169" s="7">
        <v>6000</v>
      </c>
      <c r="F169" s="29">
        <v>6000</v>
      </c>
      <c r="G169" s="28">
        <v>6000</v>
      </c>
      <c r="H169" s="28">
        <v>6000</v>
      </c>
      <c r="I169" s="138">
        <v>0</v>
      </c>
      <c r="J169" s="245">
        <v>0</v>
      </c>
      <c r="K169" s="241"/>
      <c r="M169" s="30"/>
      <c r="N169" s="31">
        <f t="shared" si="2"/>
        <v>0</v>
      </c>
    </row>
    <row r="170" spans="1:14" x14ac:dyDescent="0.2">
      <c r="A170" s="32" t="s">
        <v>147</v>
      </c>
      <c r="B170" s="37" t="s">
        <v>148</v>
      </c>
      <c r="C170" s="34">
        <v>1000</v>
      </c>
      <c r="D170" s="35">
        <v>1000</v>
      </c>
      <c r="E170" s="100">
        <v>2220</v>
      </c>
      <c r="F170" s="36">
        <v>2220</v>
      </c>
      <c r="G170" s="35">
        <v>1000</v>
      </c>
      <c r="H170" s="35">
        <v>1000</v>
      </c>
      <c r="I170" s="137">
        <v>-1220</v>
      </c>
      <c r="J170" s="244">
        <v>-0.54954954954954949</v>
      </c>
      <c r="K170" s="241"/>
      <c r="M170" s="30"/>
      <c r="N170" s="31">
        <f t="shared" si="2"/>
        <v>0</v>
      </c>
    </row>
    <row r="171" spans="1:14" ht="15" x14ac:dyDescent="0.25">
      <c r="A171" s="38"/>
      <c r="B171" s="43" t="s">
        <v>103</v>
      </c>
      <c r="C171" s="39">
        <v>7000</v>
      </c>
      <c r="D171" s="93">
        <v>7000</v>
      </c>
      <c r="E171" s="101">
        <v>8220</v>
      </c>
      <c r="F171" s="115">
        <v>8220</v>
      </c>
      <c r="G171" s="93">
        <v>7000</v>
      </c>
      <c r="H171" s="93">
        <v>7000</v>
      </c>
      <c r="I171" s="144">
        <v>-1220</v>
      </c>
      <c r="J171" s="245">
        <v>-0.14841849148418496</v>
      </c>
      <c r="K171" s="241"/>
      <c r="M171" s="30"/>
      <c r="N171" s="31">
        <f t="shared" si="2"/>
        <v>0</v>
      </c>
    </row>
    <row r="172" spans="1:14" ht="15" x14ac:dyDescent="0.25">
      <c r="A172" s="46" t="s">
        <v>302</v>
      </c>
      <c r="B172" s="46"/>
      <c r="C172" s="46"/>
      <c r="D172" s="76"/>
      <c r="E172" s="77"/>
      <c r="F172" s="64"/>
      <c r="G172" s="64"/>
      <c r="H172" s="64"/>
      <c r="I172" s="145"/>
      <c r="J172" s="245"/>
      <c r="K172" s="241"/>
      <c r="M172" s="30"/>
      <c r="N172" s="31">
        <f t="shared" si="2"/>
        <v>0</v>
      </c>
    </row>
    <row r="173" spans="1:14" x14ac:dyDescent="0.2">
      <c r="A173" s="25" t="s">
        <v>223</v>
      </c>
      <c r="B173" s="26" t="s">
        <v>307</v>
      </c>
      <c r="C173" s="27">
        <v>1000</v>
      </c>
      <c r="D173" s="28">
        <v>1000</v>
      </c>
      <c r="E173" s="7">
        <v>1000</v>
      </c>
      <c r="F173" s="29">
        <v>0</v>
      </c>
      <c r="G173" s="28">
        <v>0</v>
      </c>
      <c r="H173" s="28">
        <v>0</v>
      </c>
      <c r="I173" s="138">
        <v>0</v>
      </c>
      <c r="J173" s="245"/>
      <c r="K173" s="241"/>
      <c r="M173" s="30"/>
      <c r="N173" s="31">
        <f t="shared" si="2"/>
        <v>0</v>
      </c>
    </row>
    <row r="174" spans="1:14" x14ac:dyDescent="0.2">
      <c r="A174" s="45" t="s">
        <v>226</v>
      </c>
      <c r="B174" s="45" t="s">
        <v>227</v>
      </c>
      <c r="C174" s="34">
        <v>3500</v>
      </c>
      <c r="D174" s="35">
        <v>1000</v>
      </c>
      <c r="E174" s="100">
        <v>1500</v>
      </c>
      <c r="F174" s="36">
        <v>1500</v>
      </c>
      <c r="G174" s="35">
        <v>0</v>
      </c>
      <c r="H174" s="35">
        <v>0</v>
      </c>
      <c r="I174" s="137">
        <v>-1500</v>
      </c>
      <c r="J174" s="244">
        <v>-1</v>
      </c>
      <c r="K174" s="241"/>
      <c r="M174" s="30"/>
      <c r="N174" s="31">
        <f t="shared" si="2"/>
        <v>0</v>
      </c>
    </row>
    <row r="175" spans="1:14" x14ac:dyDescent="0.2">
      <c r="A175" s="51" t="s">
        <v>72</v>
      </c>
      <c r="B175" s="52" t="s">
        <v>73</v>
      </c>
      <c r="C175" s="27">
        <v>3000</v>
      </c>
      <c r="D175" s="28">
        <v>1200</v>
      </c>
      <c r="E175" s="7">
        <v>3000</v>
      </c>
      <c r="F175" s="29">
        <v>3000</v>
      </c>
      <c r="G175" s="28">
        <v>3000</v>
      </c>
      <c r="H175" s="28">
        <v>3000</v>
      </c>
      <c r="I175" s="138">
        <v>0</v>
      </c>
      <c r="J175" s="245">
        <v>0</v>
      </c>
      <c r="K175" s="241"/>
      <c r="M175" s="30"/>
      <c r="N175" s="31">
        <f t="shared" si="2"/>
        <v>0</v>
      </c>
    </row>
    <row r="176" spans="1:14" ht="15" x14ac:dyDescent="0.25">
      <c r="A176" s="51"/>
      <c r="B176" s="43" t="s">
        <v>103</v>
      </c>
      <c r="C176" s="27"/>
      <c r="D176" s="41">
        <v>3200</v>
      </c>
      <c r="E176" s="7"/>
      <c r="F176" s="114">
        <v>4500</v>
      </c>
      <c r="G176" s="41">
        <v>3000</v>
      </c>
      <c r="H176" s="41">
        <v>3000</v>
      </c>
      <c r="I176" s="139">
        <v>-1500</v>
      </c>
      <c r="J176" s="244">
        <v>-0.33333333333333337</v>
      </c>
      <c r="K176" s="241"/>
      <c r="M176" s="30"/>
      <c r="N176" s="31">
        <f t="shared" si="2"/>
        <v>0</v>
      </c>
    </row>
    <row r="177" spans="1:14" ht="15" x14ac:dyDescent="0.25">
      <c r="A177" s="63" t="s">
        <v>295</v>
      </c>
      <c r="B177" s="47"/>
      <c r="C177" s="48"/>
      <c r="D177" s="49"/>
      <c r="E177" s="48"/>
      <c r="F177" s="50"/>
      <c r="G177" s="50"/>
      <c r="H177" s="50"/>
      <c r="I177" s="141"/>
      <c r="J177" s="245"/>
      <c r="K177" s="241"/>
      <c r="M177" s="30"/>
      <c r="N177" s="31">
        <f t="shared" si="2"/>
        <v>0</v>
      </c>
    </row>
    <row r="178" spans="1:14" x14ac:dyDescent="0.2">
      <c r="A178" s="25" t="s">
        <v>18</v>
      </c>
      <c r="B178" s="26" t="s">
        <v>19</v>
      </c>
      <c r="C178" s="27">
        <v>8085.87</v>
      </c>
      <c r="D178" s="28">
        <v>8288.0167499999989</v>
      </c>
      <c r="E178" s="7">
        <v>8536.66</v>
      </c>
      <c r="F178" s="29">
        <v>8412.34</v>
      </c>
      <c r="G178" s="28">
        <v>8664.7099999999991</v>
      </c>
      <c r="H178" s="28">
        <v>8580.5868000000009</v>
      </c>
      <c r="I178" s="138">
        <v>168.2468000000008</v>
      </c>
      <c r="J178" s="245">
        <v>2.0000000000000018E-2</v>
      </c>
      <c r="K178" s="241"/>
      <c r="M178" s="30" t="s">
        <v>209</v>
      </c>
      <c r="N178" s="31">
        <f t="shared" si="2"/>
        <v>168.25</v>
      </c>
    </row>
    <row r="179" spans="1:14" x14ac:dyDescent="0.2">
      <c r="A179" s="32" t="s">
        <v>20</v>
      </c>
      <c r="B179" s="37" t="s">
        <v>21</v>
      </c>
      <c r="C179" s="34">
        <v>1730</v>
      </c>
      <c r="D179" s="35">
        <v>1730</v>
      </c>
      <c r="E179" s="100">
        <v>1780</v>
      </c>
      <c r="F179" s="36">
        <v>1730</v>
      </c>
      <c r="G179" s="35">
        <v>1730</v>
      </c>
      <c r="H179" s="35">
        <v>1764.6000000000001</v>
      </c>
      <c r="I179" s="137">
        <v>34.600000000000136</v>
      </c>
      <c r="J179" s="244">
        <v>2.0000000000000018E-2</v>
      </c>
      <c r="K179" s="241"/>
      <c r="M179" s="30" t="s">
        <v>209</v>
      </c>
      <c r="N179" s="31">
        <f t="shared" si="2"/>
        <v>34.6</v>
      </c>
    </row>
    <row r="180" spans="1:14" x14ac:dyDescent="0.2">
      <c r="A180" s="25" t="s">
        <v>22</v>
      </c>
      <c r="B180" s="26" t="s">
        <v>23</v>
      </c>
      <c r="C180" s="27">
        <v>6525</v>
      </c>
      <c r="D180" s="28">
        <v>6525</v>
      </c>
      <c r="E180" s="7">
        <v>6525</v>
      </c>
      <c r="F180" s="29">
        <v>6525</v>
      </c>
      <c r="G180" s="28">
        <v>6525</v>
      </c>
      <c r="H180" s="28">
        <v>6525</v>
      </c>
      <c r="I180" s="138">
        <v>0</v>
      </c>
      <c r="J180" s="245">
        <v>0</v>
      </c>
      <c r="K180" s="241"/>
      <c r="M180" s="30"/>
      <c r="N180" s="31">
        <f t="shared" si="2"/>
        <v>0</v>
      </c>
    </row>
    <row r="181" spans="1:14" ht="15" x14ac:dyDescent="0.25">
      <c r="A181" s="57"/>
      <c r="B181" s="60" t="s">
        <v>103</v>
      </c>
      <c r="C181" s="59">
        <v>16340.869999999999</v>
      </c>
      <c r="D181" s="94">
        <v>16543.016749999999</v>
      </c>
      <c r="E181" s="102">
        <v>16841.66</v>
      </c>
      <c r="F181" s="116">
        <v>16667.34</v>
      </c>
      <c r="G181" s="94">
        <v>16919.71</v>
      </c>
      <c r="H181" s="94">
        <v>16870.186800000003</v>
      </c>
      <c r="I181" s="143">
        <v>202.84680000000094</v>
      </c>
      <c r="J181" s="245">
        <v>1.2170316319220831E-2</v>
      </c>
      <c r="K181" s="241"/>
      <c r="M181" s="30"/>
      <c r="N181" s="31">
        <f t="shared" si="2"/>
        <v>0</v>
      </c>
    </row>
    <row r="182" spans="1:14" ht="15" x14ac:dyDescent="0.25">
      <c r="A182" s="63" t="s">
        <v>296</v>
      </c>
      <c r="B182" s="47"/>
      <c r="C182" s="48"/>
      <c r="D182" s="49"/>
      <c r="E182" s="48"/>
      <c r="F182" s="50"/>
      <c r="G182" s="50"/>
      <c r="H182" s="50"/>
      <c r="I182" s="141"/>
      <c r="J182" s="245"/>
      <c r="K182" s="241"/>
      <c r="M182" s="30"/>
      <c r="N182" s="31">
        <f t="shared" si="2"/>
        <v>0</v>
      </c>
    </row>
    <row r="183" spans="1:14" x14ac:dyDescent="0.2">
      <c r="A183" s="25" t="s">
        <v>25</v>
      </c>
      <c r="B183" s="26" t="s">
        <v>206</v>
      </c>
      <c r="C183" s="27">
        <v>2369.0300000000002</v>
      </c>
      <c r="D183" s="28">
        <v>2356.5364999999997</v>
      </c>
      <c r="E183" s="7">
        <v>2600</v>
      </c>
      <c r="F183" s="29">
        <v>2391.89</v>
      </c>
      <c r="G183" s="28">
        <v>2391.89</v>
      </c>
      <c r="H183" s="28">
        <v>2439.7278000000001</v>
      </c>
      <c r="I183" s="138">
        <v>47.837800000000243</v>
      </c>
      <c r="J183" s="245">
        <v>2.0000000000000018E-2</v>
      </c>
      <c r="K183" s="241"/>
      <c r="M183" s="30" t="s">
        <v>209</v>
      </c>
      <c r="N183" s="31">
        <f t="shared" si="2"/>
        <v>47.84</v>
      </c>
    </row>
    <row r="184" spans="1:14" x14ac:dyDescent="0.2">
      <c r="A184" s="32" t="s">
        <v>26</v>
      </c>
      <c r="B184" s="37" t="s">
        <v>207</v>
      </c>
      <c r="C184" s="34">
        <v>9909.31</v>
      </c>
      <c r="D184" s="35">
        <v>9861.2072499999995</v>
      </c>
      <c r="E184" s="100">
        <v>16380</v>
      </c>
      <c r="F184" s="36">
        <v>10009.129999999999</v>
      </c>
      <c r="G184" s="35">
        <v>18720</v>
      </c>
      <c r="H184" s="35">
        <v>11668.800000000001</v>
      </c>
      <c r="I184" s="137">
        <v>1659.6700000000019</v>
      </c>
      <c r="J184" s="244">
        <v>0.16581561034775261</v>
      </c>
      <c r="K184" s="241"/>
      <c r="M184" s="30" t="s">
        <v>209</v>
      </c>
      <c r="N184" s="31">
        <f t="shared" si="2"/>
        <v>200.18</v>
      </c>
    </row>
    <row r="185" spans="1:14" x14ac:dyDescent="0.2">
      <c r="A185" s="51" t="s">
        <v>279</v>
      </c>
      <c r="B185" s="52" t="s">
        <v>205</v>
      </c>
      <c r="C185" s="27">
        <v>0</v>
      </c>
      <c r="D185" s="28">
        <v>0</v>
      </c>
      <c r="E185" s="7">
        <v>585</v>
      </c>
      <c r="F185" s="29">
        <v>585</v>
      </c>
      <c r="G185" s="28">
        <v>585</v>
      </c>
      <c r="H185" s="28">
        <v>585</v>
      </c>
      <c r="I185" s="138">
        <v>0</v>
      </c>
      <c r="J185" s="245">
        <v>0</v>
      </c>
      <c r="K185" s="241"/>
      <c r="M185" s="30"/>
      <c r="N185" s="31">
        <f t="shared" si="2"/>
        <v>0</v>
      </c>
    </row>
    <row r="186" spans="1:14" x14ac:dyDescent="0.2">
      <c r="A186" s="32" t="s">
        <v>24</v>
      </c>
      <c r="B186" s="33" t="s">
        <v>261</v>
      </c>
      <c r="C186" s="34">
        <v>8603.1</v>
      </c>
      <c r="D186" s="35">
        <v>9603.1</v>
      </c>
      <c r="E186" s="100">
        <v>14391</v>
      </c>
      <c r="F186" s="36">
        <v>9534.9699999999993</v>
      </c>
      <c r="G186" s="35">
        <v>10470.969999999999</v>
      </c>
      <c r="H186" s="35">
        <v>10470.969999999999</v>
      </c>
      <c r="I186" s="137">
        <v>936</v>
      </c>
      <c r="J186" s="244">
        <v>9.8164965385313163E-2</v>
      </c>
      <c r="K186" s="241"/>
      <c r="M186" s="30"/>
      <c r="N186" s="31">
        <f t="shared" si="2"/>
        <v>0</v>
      </c>
    </row>
    <row r="187" spans="1:14" x14ac:dyDescent="0.2">
      <c r="A187" s="25" t="s">
        <v>275</v>
      </c>
      <c r="B187" s="52" t="s">
        <v>208</v>
      </c>
      <c r="C187" s="27">
        <v>500</v>
      </c>
      <c r="D187" s="28">
        <v>0</v>
      </c>
      <c r="E187" s="7">
        <v>550</v>
      </c>
      <c r="F187" s="29">
        <v>0</v>
      </c>
      <c r="G187" s="28">
        <v>0</v>
      </c>
      <c r="H187" s="28">
        <v>0</v>
      </c>
      <c r="I187" s="138">
        <v>0</v>
      </c>
      <c r="J187" s="245"/>
      <c r="K187" s="241"/>
      <c r="M187" s="30"/>
      <c r="N187" s="31">
        <f t="shared" si="2"/>
        <v>0</v>
      </c>
    </row>
    <row r="188" spans="1:14" ht="15" x14ac:dyDescent="0.25">
      <c r="A188" s="57"/>
      <c r="B188" s="60" t="s">
        <v>103</v>
      </c>
      <c r="C188" s="59">
        <v>21381.440000000002</v>
      </c>
      <c r="D188" s="94">
        <v>21820.84375</v>
      </c>
      <c r="E188" s="102">
        <v>34506</v>
      </c>
      <c r="F188" s="116">
        <v>22520.989999999998</v>
      </c>
      <c r="G188" s="94">
        <v>32167.86</v>
      </c>
      <c r="H188" s="94">
        <v>25164.497800000001</v>
      </c>
      <c r="I188" s="143">
        <v>2643.5078000000021</v>
      </c>
      <c r="J188" s="245">
        <v>0.11737973330657336</v>
      </c>
      <c r="K188" s="241"/>
      <c r="M188" s="30"/>
      <c r="N188" s="31">
        <f t="shared" si="2"/>
        <v>0</v>
      </c>
    </row>
    <row r="189" spans="1:14" ht="15" x14ac:dyDescent="0.25">
      <c r="A189" s="63" t="s">
        <v>301</v>
      </c>
      <c r="B189" s="47"/>
      <c r="C189" s="48"/>
      <c r="D189" s="49"/>
      <c r="E189" s="48"/>
      <c r="F189" s="50"/>
      <c r="G189" s="50"/>
      <c r="H189" s="50"/>
      <c r="I189" s="141"/>
      <c r="J189" s="246"/>
      <c r="K189" s="241"/>
      <c r="M189" s="30"/>
      <c r="N189" s="31">
        <f t="shared" si="2"/>
        <v>0</v>
      </c>
    </row>
    <row r="190" spans="1:14" ht="15" x14ac:dyDescent="0.25">
      <c r="A190" s="51" t="s">
        <v>41</v>
      </c>
      <c r="B190" s="52" t="s">
        <v>42</v>
      </c>
      <c r="C190" s="27">
        <v>5659.56</v>
      </c>
      <c r="D190" s="28">
        <v>5659.56</v>
      </c>
      <c r="E190" s="101">
        <v>5655.06</v>
      </c>
      <c r="F190" s="29">
        <v>5655.06</v>
      </c>
      <c r="G190" s="28">
        <v>5753.95</v>
      </c>
      <c r="H190" s="28">
        <v>5753.95</v>
      </c>
      <c r="I190" s="138">
        <v>98.889999999999418</v>
      </c>
      <c r="J190" s="245">
        <v>1.7486993948782059E-2</v>
      </c>
      <c r="K190" s="241"/>
      <c r="M190" s="30"/>
      <c r="N190" s="31">
        <f t="shared" si="2"/>
        <v>0</v>
      </c>
    </row>
    <row r="191" spans="1:14" x14ac:dyDescent="0.2">
      <c r="A191" s="53" t="s">
        <v>27</v>
      </c>
      <c r="B191" s="54" t="s">
        <v>28</v>
      </c>
      <c r="C191" s="34">
        <v>13552.8</v>
      </c>
      <c r="D191" s="35">
        <v>13552.8</v>
      </c>
      <c r="E191" s="100">
        <v>14000</v>
      </c>
      <c r="F191" s="36">
        <v>14000</v>
      </c>
      <c r="G191" s="35">
        <v>16000</v>
      </c>
      <c r="H191" s="35">
        <v>16000</v>
      </c>
      <c r="I191" s="137">
        <v>2000</v>
      </c>
      <c r="J191" s="244">
        <v>0.14285714285714279</v>
      </c>
      <c r="K191" s="241"/>
      <c r="M191" s="30"/>
      <c r="N191" s="31">
        <f t="shared" si="2"/>
        <v>0</v>
      </c>
    </row>
    <row r="192" spans="1:14" ht="15" x14ac:dyDescent="0.25">
      <c r="A192" s="38"/>
      <c r="B192" s="43" t="s">
        <v>103</v>
      </c>
      <c r="C192" s="39">
        <v>19212.36</v>
      </c>
      <c r="D192" s="93">
        <v>19212.36</v>
      </c>
      <c r="E192" s="101">
        <v>19655.060000000001</v>
      </c>
      <c r="F192" s="115">
        <v>19655.060000000001</v>
      </c>
      <c r="G192" s="93">
        <v>21753.95</v>
      </c>
      <c r="H192" s="93">
        <v>21753.95</v>
      </c>
      <c r="I192" s="144">
        <v>2098.8899999999994</v>
      </c>
      <c r="J192" s="245">
        <v>0.10678624232131573</v>
      </c>
      <c r="K192" s="241"/>
      <c r="M192" s="30"/>
      <c r="N192" s="31">
        <f t="shared" si="2"/>
        <v>0</v>
      </c>
    </row>
    <row r="193" spans="1:14" ht="15" x14ac:dyDescent="0.25">
      <c r="A193" s="63" t="s">
        <v>298</v>
      </c>
      <c r="B193" s="47"/>
      <c r="C193" s="48"/>
      <c r="D193" s="49"/>
      <c r="E193" s="48"/>
      <c r="F193" s="50"/>
      <c r="G193" s="50"/>
      <c r="H193" s="50"/>
      <c r="I193" s="141"/>
      <c r="J193" s="246"/>
      <c r="K193" s="241"/>
      <c r="M193" s="30"/>
      <c r="N193" s="31">
        <f t="shared" si="2"/>
        <v>0</v>
      </c>
    </row>
    <row r="194" spans="1:14" x14ac:dyDescent="0.2">
      <c r="A194" s="51" t="s">
        <v>43</v>
      </c>
      <c r="B194" s="52" t="s">
        <v>44</v>
      </c>
      <c r="C194" s="27">
        <v>15752.72</v>
      </c>
      <c r="D194" s="96">
        <v>16146.537999999999</v>
      </c>
      <c r="E194" s="125">
        <v>16630.939999999999</v>
      </c>
      <c r="F194" s="126">
        <v>16388.740000000002</v>
      </c>
      <c r="G194" s="96">
        <v>16880.419999999998</v>
      </c>
      <c r="H194" s="96">
        <v>17503.2</v>
      </c>
      <c r="I194" s="146">
        <v>1114.4599999999991</v>
      </c>
      <c r="J194" s="245">
        <v>6.8001566929489332E-2</v>
      </c>
      <c r="K194" s="241"/>
      <c r="L194" s="191"/>
      <c r="M194" s="30" t="s">
        <v>209</v>
      </c>
      <c r="N194" s="31">
        <f t="shared" si="2"/>
        <v>327.77</v>
      </c>
    </row>
    <row r="195" spans="1:14" x14ac:dyDescent="0.2">
      <c r="A195" s="53" t="s">
        <v>45</v>
      </c>
      <c r="B195" s="54" t="s">
        <v>46</v>
      </c>
      <c r="C195" s="34">
        <v>10797.49</v>
      </c>
      <c r="D195" s="97">
        <v>11067.427249999999</v>
      </c>
      <c r="E195" s="127">
        <v>10213.969999999999</v>
      </c>
      <c r="F195" s="128">
        <v>11233.44</v>
      </c>
      <c r="G195" s="97">
        <v>11570.44</v>
      </c>
      <c r="H195" s="97">
        <v>11458.1088</v>
      </c>
      <c r="I195" s="147">
        <v>224.66879999999946</v>
      </c>
      <c r="J195" s="244">
        <v>2.0000000000000018E-2</v>
      </c>
      <c r="K195" s="241"/>
      <c r="M195" s="30" t="s">
        <v>209</v>
      </c>
      <c r="N195" s="31">
        <f t="shared" si="2"/>
        <v>224.67</v>
      </c>
    </row>
    <row r="196" spans="1:14" x14ac:dyDescent="0.2">
      <c r="A196" s="51" t="s">
        <v>47</v>
      </c>
      <c r="B196" s="52" t="s">
        <v>48</v>
      </c>
      <c r="C196" s="27">
        <v>1522.25</v>
      </c>
      <c r="D196" s="96">
        <v>1552.6949999999999</v>
      </c>
      <c r="E196" s="125">
        <v>1560</v>
      </c>
      <c r="F196" s="126">
        <v>1575.99</v>
      </c>
      <c r="G196" s="96">
        <v>1623.27</v>
      </c>
      <c r="H196" s="96">
        <v>1607.5098</v>
      </c>
      <c r="I196" s="146">
        <v>31.519800000000032</v>
      </c>
      <c r="J196" s="245">
        <v>2.0000000000000018E-2</v>
      </c>
      <c r="K196" s="241"/>
      <c r="L196" s="191"/>
      <c r="M196" s="30" t="s">
        <v>209</v>
      </c>
      <c r="N196" s="31">
        <f t="shared" si="2"/>
        <v>31.52</v>
      </c>
    </row>
    <row r="197" spans="1:14" x14ac:dyDescent="0.2">
      <c r="A197" s="53" t="s">
        <v>49</v>
      </c>
      <c r="B197" s="54" t="s">
        <v>262</v>
      </c>
      <c r="C197" s="34">
        <v>17560</v>
      </c>
      <c r="D197" s="97">
        <v>17560</v>
      </c>
      <c r="E197" s="127">
        <v>17560</v>
      </c>
      <c r="F197" s="128">
        <v>16280.97</v>
      </c>
      <c r="G197" s="97">
        <v>16782.87</v>
      </c>
      <c r="H197" s="97">
        <v>16782.87</v>
      </c>
      <c r="I197" s="147">
        <v>501.89999999999964</v>
      </c>
      <c r="J197" s="244">
        <v>3.0827401561454915E-2</v>
      </c>
      <c r="K197" s="241"/>
      <c r="M197" s="30"/>
      <c r="N197" s="31">
        <f t="shared" si="2"/>
        <v>0</v>
      </c>
    </row>
    <row r="198" spans="1:14" ht="15" x14ac:dyDescent="0.25">
      <c r="A198" s="38"/>
      <c r="B198" s="43" t="s">
        <v>103</v>
      </c>
      <c r="C198" s="39">
        <v>45632.46</v>
      </c>
      <c r="D198" s="129">
        <v>46326.660250000001</v>
      </c>
      <c r="E198" s="130">
        <v>45964.909999999996</v>
      </c>
      <c r="F198" s="131">
        <v>45479.14</v>
      </c>
      <c r="G198" s="129">
        <v>46857</v>
      </c>
      <c r="H198" s="129">
        <v>47351.688599999994</v>
      </c>
      <c r="I198" s="148">
        <v>1872.5485999999983</v>
      </c>
      <c r="J198" s="245">
        <v>4.1173790885227657E-2</v>
      </c>
      <c r="K198" s="241"/>
      <c r="L198" s="163"/>
      <c r="M198" s="30"/>
      <c r="N198" s="31">
        <f t="shared" ref="N198:N210" si="3">ROUND(IF(M198="Y",F198*$P$1,0),2)</f>
        <v>0</v>
      </c>
    </row>
    <row r="199" spans="1:14" ht="15" x14ac:dyDescent="0.25">
      <c r="A199" s="63" t="s">
        <v>299</v>
      </c>
      <c r="B199" s="47"/>
      <c r="C199" s="48"/>
      <c r="D199" s="49"/>
      <c r="E199" s="48"/>
      <c r="F199" s="50"/>
      <c r="G199" s="50"/>
      <c r="H199" s="50"/>
      <c r="I199" s="141"/>
      <c r="J199" s="246"/>
      <c r="K199" s="241"/>
      <c r="M199" s="30"/>
      <c r="N199" s="31">
        <f t="shared" si="3"/>
        <v>0</v>
      </c>
    </row>
    <row r="200" spans="1:14" x14ac:dyDescent="0.2">
      <c r="A200" s="51" t="s">
        <v>50</v>
      </c>
      <c r="B200" s="52" t="s">
        <v>263</v>
      </c>
      <c r="C200" s="27">
        <v>2800</v>
      </c>
      <c r="D200" s="28">
        <v>2800</v>
      </c>
      <c r="E200" s="7">
        <v>2800</v>
      </c>
      <c r="F200" s="29">
        <v>2699.15</v>
      </c>
      <c r="G200" s="28">
        <v>2699.15</v>
      </c>
      <c r="H200" s="28">
        <v>2699.15</v>
      </c>
      <c r="I200" s="138">
        <v>0</v>
      </c>
      <c r="J200" s="245">
        <v>0</v>
      </c>
      <c r="K200" s="241"/>
      <c r="M200" s="30"/>
      <c r="N200" s="31">
        <f t="shared" si="3"/>
        <v>0</v>
      </c>
    </row>
    <row r="201" spans="1:14" x14ac:dyDescent="0.2">
      <c r="A201" s="53" t="s">
        <v>51</v>
      </c>
      <c r="B201" s="54" t="s">
        <v>52</v>
      </c>
      <c r="C201" s="34">
        <v>3780</v>
      </c>
      <c r="D201" s="35">
        <v>3780</v>
      </c>
      <c r="E201" s="100">
        <v>3800</v>
      </c>
      <c r="F201" s="36">
        <v>3800</v>
      </c>
      <c r="G201" s="35">
        <v>3800</v>
      </c>
      <c r="H201" s="35">
        <v>3800</v>
      </c>
      <c r="I201" s="137">
        <v>0</v>
      </c>
      <c r="J201" s="244">
        <v>0</v>
      </c>
      <c r="K201" s="241"/>
      <c r="M201" s="30"/>
      <c r="N201" s="31">
        <f t="shared" si="3"/>
        <v>0</v>
      </c>
    </row>
    <row r="202" spans="1:14" x14ac:dyDescent="0.2">
      <c r="A202" s="51" t="s">
        <v>53</v>
      </c>
      <c r="B202" s="52" t="s">
        <v>54</v>
      </c>
      <c r="C202" s="27">
        <v>2000</v>
      </c>
      <c r="D202" s="28">
        <v>2000</v>
      </c>
      <c r="E202" s="7">
        <v>5000</v>
      </c>
      <c r="F202" s="29">
        <v>3500</v>
      </c>
      <c r="G202" s="28">
        <v>3500</v>
      </c>
      <c r="H202" s="28">
        <v>3500</v>
      </c>
      <c r="I202" s="138">
        <v>0</v>
      </c>
      <c r="J202" s="245">
        <v>0</v>
      </c>
      <c r="K202" s="241"/>
      <c r="M202" s="30"/>
      <c r="N202" s="31">
        <f t="shared" si="3"/>
        <v>0</v>
      </c>
    </row>
    <row r="203" spans="1:14" x14ac:dyDescent="0.2">
      <c r="A203" s="53" t="s">
        <v>55</v>
      </c>
      <c r="B203" s="54" t="s">
        <v>56</v>
      </c>
      <c r="C203" s="34">
        <v>1000</v>
      </c>
      <c r="D203" s="35">
        <v>1000</v>
      </c>
      <c r="E203" s="100">
        <v>1000</v>
      </c>
      <c r="F203" s="36">
        <v>1000</v>
      </c>
      <c r="G203" s="35">
        <v>1000</v>
      </c>
      <c r="H203" s="35">
        <v>1000</v>
      </c>
      <c r="I203" s="137">
        <v>0</v>
      </c>
      <c r="J203" s="244">
        <v>0</v>
      </c>
      <c r="K203" s="241"/>
      <c r="M203" s="30"/>
      <c r="N203" s="31">
        <f t="shared" si="3"/>
        <v>0</v>
      </c>
    </row>
    <row r="204" spans="1:14" ht="15" x14ac:dyDescent="0.25">
      <c r="A204" s="38"/>
      <c r="B204" s="43" t="s">
        <v>103</v>
      </c>
      <c r="C204" s="39">
        <v>9580</v>
      </c>
      <c r="D204" s="93">
        <v>9580</v>
      </c>
      <c r="E204" s="101">
        <v>12600</v>
      </c>
      <c r="F204" s="115">
        <v>10999.15</v>
      </c>
      <c r="G204" s="93">
        <v>10999.15</v>
      </c>
      <c r="H204" s="93">
        <v>10999.15</v>
      </c>
      <c r="I204" s="144">
        <v>0</v>
      </c>
      <c r="J204" s="245">
        <v>0</v>
      </c>
      <c r="K204" s="241"/>
      <c r="M204" s="30"/>
      <c r="N204" s="31">
        <f t="shared" si="3"/>
        <v>0</v>
      </c>
    </row>
    <row r="205" spans="1:14" ht="15" x14ac:dyDescent="0.25">
      <c r="A205" s="46" t="s">
        <v>300</v>
      </c>
      <c r="B205" s="47"/>
      <c r="C205" s="48"/>
      <c r="D205" s="49"/>
      <c r="E205" s="48"/>
      <c r="F205" s="50"/>
      <c r="G205" s="50"/>
      <c r="H205" s="50"/>
      <c r="I205" s="141"/>
      <c r="J205" s="246"/>
      <c r="K205" s="241"/>
      <c r="M205" s="30"/>
      <c r="N205" s="31">
        <f t="shared" si="3"/>
        <v>0</v>
      </c>
    </row>
    <row r="206" spans="1:14" x14ac:dyDescent="0.2">
      <c r="A206" s="2" t="s">
        <v>57</v>
      </c>
      <c r="B206" s="2" t="s">
        <v>58</v>
      </c>
      <c r="C206" s="27">
        <v>6180</v>
      </c>
      <c r="D206" s="28">
        <v>6180</v>
      </c>
      <c r="E206" s="7">
        <v>5150</v>
      </c>
      <c r="F206" s="29">
        <v>5150</v>
      </c>
      <c r="G206" s="28">
        <v>4120</v>
      </c>
      <c r="H206" s="28">
        <v>4120</v>
      </c>
      <c r="I206" s="138">
        <v>-1030</v>
      </c>
      <c r="J206" s="245">
        <v>-0.19999999999999996</v>
      </c>
      <c r="K206" s="241"/>
      <c r="M206" s="30"/>
      <c r="N206" s="31">
        <f t="shared" si="3"/>
        <v>0</v>
      </c>
    </row>
    <row r="207" spans="1:14" x14ac:dyDescent="0.2">
      <c r="A207" s="62" t="s">
        <v>59</v>
      </c>
      <c r="B207" s="62" t="s">
        <v>315</v>
      </c>
      <c r="C207" s="34">
        <v>20000</v>
      </c>
      <c r="D207" s="35">
        <v>20000</v>
      </c>
      <c r="E207" s="100">
        <v>20000</v>
      </c>
      <c r="F207" s="36">
        <v>20000</v>
      </c>
      <c r="G207" s="35">
        <v>20000</v>
      </c>
      <c r="H207" s="35">
        <v>20000</v>
      </c>
      <c r="I207" s="137">
        <v>0</v>
      </c>
      <c r="J207" s="244">
        <v>0</v>
      </c>
      <c r="K207" s="241"/>
      <c r="M207" s="30"/>
      <c r="N207" s="31">
        <f t="shared" si="3"/>
        <v>0</v>
      </c>
    </row>
    <row r="208" spans="1:14" x14ac:dyDescent="0.2">
      <c r="A208" s="2"/>
      <c r="B208" s="192" t="s">
        <v>314</v>
      </c>
      <c r="C208" s="27"/>
      <c r="D208" s="55"/>
      <c r="E208" s="7"/>
      <c r="F208" s="29"/>
      <c r="G208" s="28"/>
      <c r="H208" s="28"/>
      <c r="I208" s="138">
        <v>0</v>
      </c>
      <c r="J208" s="245"/>
      <c r="K208" s="241"/>
      <c r="M208" s="30"/>
      <c r="N208" s="31">
        <f t="shared" si="3"/>
        <v>0</v>
      </c>
    </row>
    <row r="209" spans="1:14" ht="15" x14ac:dyDescent="0.25">
      <c r="A209" s="74"/>
      <c r="B209" s="74" t="s">
        <v>304</v>
      </c>
      <c r="C209" s="59">
        <v>26180</v>
      </c>
      <c r="D209" s="94">
        <v>26180</v>
      </c>
      <c r="E209" s="102">
        <v>25150</v>
      </c>
      <c r="F209" s="56">
        <v>25150</v>
      </c>
      <c r="G209" s="42">
        <v>24120</v>
      </c>
      <c r="H209" s="42">
        <v>24120</v>
      </c>
      <c r="I209" s="42">
        <v>-1030</v>
      </c>
      <c r="J209" s="242">
        <v>-4.0954274353876774E-2</v>
      </c>
      <c r="K209" s="241"/>
      <c r="M209" s="30"/>
      <c r="N209" s="31">
        <f t="shared" si="3"/>
        <v>0</v>
      </c>
    </row>
    <row r="210" spans="1:14" ht="15" x14ac:dyDescent="0.25">
      <c r="A210" s="1"/>
      <c r="B210" s="1"/>
      <c r="C210" s="39"/>
      <c r="D210" s="44"/>
      <c r="E210" s="101"/>
      <c r="F210" s="40"/>
      <c r="G210" s="41"/>
      <c r="H210" s="41"/>
      <c r="I210" s="28">
        <v>0</v>
      </c>
      <c r="J210" s="240"/>
      <c r="K210" s="241"/>
      <c r="M210" s="30"/>
      <c r="N210" s="31">
        <f t="shared" si="3"/>
        <v>0</v>
      </c>
    </row>
    <row r="211" spans="1:14" x14ac:dyDescent="0.2">
      <c r="A211" s="45" t="s">
        <v>60</v>
      </c>
      <c r="B211" s="45" t="s">
        <v>61</v>
      </c>
      <c r="C211" s="34">
        <v>14000</v>
      </c>
      <c r="D211" s="35">
        <v>14000</v>
      </c>
      <c r="E211" s="100">
        <v>14000</v>
      </c>
      <c r="F211" s="36">
        <v>14000</v>
      </c>
      <c r="G211" s="35">
        <v>14000</v>
      </c>
      <c r="H211" s="35">
        <v>14000</v>
      </c>
      <c r="I211" s="35">
        <v>0</v>
      </c>
      <c r="J211" s="242">
        <v>0</v>
      </c>
      <c r="K211" s="241"/>
      <c r="M211" s="30"/>
      <c r="N211" s="31">
        <f t="shared" ref="N211:N224" si="4">ROUND(IF(M211="Y",F216*$P$1,0),2)</f>
        <v>0</v>
      </c>
    </row>
    <row r="212" spans="1:14" x14ac:dyDescent="0.2">
      <c r="A212" s="5" t="s">
        <v>62</v>
      </c>
      <c r="B212" s="5" t="s">
        <v>63</v>
      </c>
      <c r="C212" s="27">
        <v>1848</v>
      </c>
      <c r="D212" s="28">
        <v>1848</v>
      </c>
      <c r="E212" s="7">
        <v>1232</v>
      </c>
      <c r="F212" s="29">
        <v>1232</v>
      </c>
      <c r="G212" s="28">
        <v>0</v>
      </c>
      <c r="H212" s="28">
        <v>0</v>
      </c>
      <c r="I212" s="28">
        <v>-1232</v>
      </c>
      <c r="J212" s="240">
        <v>-1</v>
      </c>
      <c r="K212" s="241"/>
      <c r="M212" s="30"/>
      <c r="N212" s="31">
        <f t="shared" si="4"/>
        <v>0</v>
      </c>
    </row>
    <row r="213" spans="1:14" x14ac:dyDescent="0.2">
      <c r="A213" s="45"/>
      <c r="B213" s="193" t="s">
        <v>313</v>
      </c>
      <c r="C213" s="75"/>
      <c r="D213" s="70"/>
      <c r="E213" s="100"/>
      <c r="F213" s="36"/>
      <c r="G213" s="35"/>
      <c r="H213" s="35"/>
      <c r="I213" s="35">
        <v>0</v>
      </c>
      <c r="J213" s="242"/>
      <c r="K213" s="241"/>
      <c r="L213" s="19"/>
      <c r="M213" s="30"/>
      <c r="N213" s="31">
        <f t="shared" si="4"/>
        <v>0</v>
      </c>
    </row>
    <row r="214" spans="1:14" ht="15" x14ac:dyDescent="0.25">
      <c r="A214" s="1"/>
      <c r="B214" s="1" t="s">
        <v>305</v>
      </c>
      <c r="C214" s="39">
        <v>15848</v>
      </c>
      <c r="D214" s="93">
        <v>15848</v>
      </c>
      <c r="E214" s="101">
        <v>15232</v>
      </c>
      <c r="F214" s="40">
        <v>15232</v>
      </c>
      <c r="G214" s="41">
        <v>14000</v>
      </c>
      <c r="H214" s="41">
        <v>14000</v>
      </c>
      <c r="I214" s="41">
        <v>-1232</v>
      </c>
      <c r="J214" s="240">
        <v>-8.0882352941176516E-2</v>
      </c>
      <c r="K214" s="241"/>
      <c r="M214" s="30"/>
      <c r="N214" s="31">
        <f t="shared" si="4"/>
        <v>0</v>
      </c>
    </row>
    <row r="215" spans="1:14" x14ac:dyDescent="0.2">
      <c r="A215" s="62"/>
      <c r="B215" s="62"/>
      <c r="C215" s="34"/>
      <c r="D215" s="70"/>
      <c r="E215" s="100"/>
      <c r="F215" s="36"/>
      <c r="G215" s="35"/>
      <c r="H215" s="35"/>
      <c r="I215" s="35"/>
      <c r="J215" s="244"/>
      <c r="K215" s="241"/>
      <c r="M215" s="30"/>
      <c r="N215" s="31">
        <f t="shared" si="4"/>
        <v>0</v>
      </c>
    </row>
    <row r="216" spans="1:14" x14ac:dyDescent="0.2">
      <c r="A216" s="5" t="s">
        <v>444</v>
      </c>
      <c r="B216" s="5" t="s">
        <v>421</v>
      </c>
      <c r="C216" s="27">
        <v>14000</v>
      </c>
      <c r="D216" s="28">
        <v>0</v>
      </c>
      <c r="E216" s="7">
        <v>14000</v>
      </c>
      <c r="F216" s="29">
        <v>0</v>
      </c>
      <c r="G216" s="28">
        <v>72453.119999999995</v>
      </c>
      <c r="H216" s="28">
        <v>72453.119999999995</v>
      </c>
      <c r="I216" s="28">
        <v>72453.119999999995</v>
      </c>
      <c r="J216" s="245"/>
      <c r="K216" s="241"/>
      <c r="M216" s="30"/>
      <c r="N216" s="31">
        <f t="shared" si="4"/>
        <v>0</v>
      </c>
    </row>
    <row r="217" spans="1:14" x14ac:dyDescent="0.2">
      <c r="A217" s="45" t="s">
        <v>445</v>
      </c>
      <c r="B217" s="45" t="s">
        <v>422</v>
      </c>
      <c r="C217" s="34">
        <v>1848</v>
      </c>
      <c r="D217" s="35">
        <v>0</v>
      </c>
      <c r="E217" s="100">
        <v>1232</v>
      </c>
      <c r="F217" s="36">
        <v>0</v>
      </c>
      <c r="G217" s="35">
        <v>2312</v>
      </c>
      <c r="H217" s="35">
        <v>2312</v>
      </c>
      <c r="I217" s="35">
        <v>2312</v>
      </c>
      <c r="J217" s="244"/>
      <c r="K217" s="241"/>
      <c r="M217" s="30"/>
      <c r="N217" s="31">
        <f t="shared" si="4"/>
        <v>0</v>
      </c>
    </row>
    <row r="218" spans="1:14" x14ac:dyDescent="0.2">
      <c r="A218" s="5"/>
      <c r="B218" s="194" t="s">
        <v>313</v>
      </c>
      <c r="C218" s="172"/>
      <c r="D218" s="55"/>
      <c r="E218" s="7"/>
      <c r="F218" s="29"/>
      <c r="G218" s="28"/>
      <c r="H218" s="28"/>
      <c r="I218" s="28">
        <v>0</v>
      </c>
      <c r="J218" s="245"/>
      <c r="K218" s="241"/>
      <c r="M218" s="30"/>
      <c r="N218" s="31">
        <f t="shared" si="4"/>
        <v>0</v>
      </c>
    </row>
    <row r="219" spans="1:14" ht="15" x14ac:dyDescent="0.25">
      <c r="A219" s="74"/>
      <c r="B219" s="74" t="s">
        <v>363</v>
      </c>
      <c r="C219" s="59">
        <v>15848</v>
      </c>
      <c r="D219" s="94">
        <v>0</v>
      </c>
      <c r="E219" s="102">
        <v>15232</v>
      </c>
      <c r="F219" s="56">
        <v>0</v>
      </c>
      <c r="G219" s="42">
        <v>74765.119999999995</v>
      </c>
      <c r="H219" s="42">
        <v>74765.119999999995</v>
      </c>
      <c r="I219" s="42">
        <v>74765.119999999995</v>
      </c>
      <c r="J219" s="244"/>
      <c r="K219" s="241"/>
      <c r="M219" s="30"/>
      <c r="N219" s="31">
        <f t="shared" si="4"/>
        <v>0</v>
      </c>
    </row>
    <row r="220" spans="1:14" x14ac:dyDescent="0.2">
      <c r="A220" s="2"/>
      <c r="B220" s="2"/>
      <c r="C220" s="27"/>
      <c r="D220" s="55"/>
      <c r="E220" s="7"/>
      <c r="F220" s="29"/>
      <c r="G220" s="28"/>
      <c r="H220" s="28"/>
      <c r="I220" s="28"/>
      <c r="J220" s="245"/>
      <c r="K220" s="241"/>
      <c r="M220" s="30"/>
      <c r="N220" s="31">
        <f t="shared" si="4"/>
        <v>0</v>
      </c>
    </row>
    <row r="221" spans="1:14" x14ac:dyDescent="0.2">
      <c r="A221" s="53" t="s">
        <v>446</v>
      </c>
      <c r="B221" s="54" t="s">
        <v>64</v>
      </c>
      <c r="C221" s="34">
        <v>1000</v>
      </c>
      <c r="D221" s="35">
        <v>1000</v>
      </c>
      <c r="E221" s="100">
        <v>1000</v>
      </c>
      <c r="F221" s="36">
        <v>1000</v>
      </c>
      <c r="G221" s="35">
        <v>1000</v>
      </c>
      <c r="H221" s="35">
        <v>1000</v>
      </c>
      <c r="I221" s="35">
        <v>0</v>
      </c>
      <c r="J221" s="244">
        <v>0</v>
      </c>
      <c r="K221" s="241"/>
      <c r="M221" s="30"/>
      <c r="N221" s="31">
        <f t="shared" si="4"/>
        <v>0</v>
      </c>
    </row>
    <row r="222" spans="1:14" ht="15" x14ac:dyDescent="0.25">
      <c r="A222" s="51"/>
      <c r="B222" s="43" t="s">
        <v>103</v>
      </c>
      <c r="C222" s="27"/>
      <c r="D222" s="41">
        <v>43028</v>
      </c>
      <c r="E222" s="7"/>
      <c r="F222" s="114">
        <v>41382</v>
      </c>
      <c r="G222" s="41">
        <v>113885.12</v>
      </c>
      <c r="H222" s="41">
        <v>113885.12</v>
      </c>
      <c r="I222" s="41">
        <v>73735.12</v>
      </c>
      <c r="J222" s="240"/>
      <c r="K222" s="241"/>
      <c r="M222" s="30"/>
      <c r="N222" s="31">
        <f t="shared" si="4"/>
        <v>0</v>
      </c>
    </row>
    <row r="223" spans="1:14" ht="15" x14ac:dyDescent="0.25">
      <c r="A223" s="46" t="s">
        <v>303</v>
      </c>
      <c r="B223" s="46"/>
      <c r="C223" s="46"/>
      <c r="D223" s="76"/>
      <c r="E223" s="77"/>
      <c r="F223" s="64"/>
      <c r="G223" s="64"/>
      <c r="H223" s="64"/>
      <c r="I223" s="64"/>
      <c r="J223" s="247"/>
      <c r="K223" s="241"/>
      <c r="M223" s="30"/>
      <c r="N223" s="31">
        <f t="shared" si="4"/>
        <v>0</v>
      </c>
    </row>
    <row r="224" spans="1:14" x14ac:dyDescent="0.2">
      <c r="A224" s="51" t="s">
        <v>65</v>
      </c>
      <c r="B224" s="52" t="s">
        <v>66</v>
      </c>
      <c r="C224" s="27">
        <v>89967</v>
      </c>
      <c r="D224" s="28">
        <v>89967</v>
      </c>
      <c r="E224" s="7">
        <v>96369</v>
      </c>
      <c r="F224" s="29">
        <v>96369</v>
      </c>
      <c r="G224" s="28">
        <v>85583</v>
      </c>
      <c r="H224" s="28">
        <v>85583</v>
      </c>
      <c r="I224" s="28">
        <v>-10786</v>
      </c>
      <c r="J224" s="240">
        <v>-0.11192395894945473</v>
      </c>
      <c r="K224" s="241"/>
      <c r="M224" s="107"/>
      <c r="N224" s="108">
        <f t="shared" si="4"/>
        <v>0</v>
      </c>
    </row>
    <row r="225" spans="1:14" x14ac:dyDescent="0.2">
      <c r="A225" s="53" t="s">
        <v>67</v>
      </c>
      <c r="B225" s="54" t="s">
        <v>68</v>
      </c>
      <c r="C225" s="34">
        <v>3885</v>
      </c>
      <c r="D225" s="35">
        <v>3885</v>
      </c>
      <c r="E225" s="100">
        <v>4000</v>
      </c>
      <c r="F225" s="36">
        <v>4000</v>
      </c>
      <c r="G225" s="35">
        <v>5400</v>
      </c>
      <c r="H225" s="35">
        <v>5400</v>
      </c>
      <c r="I225" s="35">
        <v>1400</v>
      </c>
      <c r="J225" s="242">
        <v>0.35000000000000009</v>
      </c>
      <c r="K225" s="241"/>
    </row>
    <row r="226" spans="1:14" s="78" customFormat="1" ht="15" x14ac:dyDescent="0.25">
      <c r="A226" s="51" t="s">
        <v>69</v>
      </c>
      <c r="B226" s="52" t="s">
        <v>70</v>
      </c>
      <c r="C226" s="27">
        <v>368000</v>
      </c>
      <c r="D226" s="28">
        <v>368000</v>
      </c>
      <c r="E226" s="7">
        <v>365000</v>
      </c>
      <c r="F226" s="29">
        <v>365000</v>
      </c>
      <c r="G226" s="28">
        <v>375000</v>
      </c>
      <c r="H226" s="28">
        <v>355000</v>
      </c>
      <c r="I226" s="28">
        <v>-10000</v>
      </c>
      <c r="J226" s="240">
        <v>-2.7397260273972601E-2</v>
      </c>
      <c r="K226" s="241"/>
      <c r="M226" s="79" t="s">
        <v>103</v>
      </c>
      <c r="N226" s="106">
        <f>SUM(N6:N224)</f>
        <v>5065.4200000000019</v>
      </c>
    </row>
    <row r="227" spans="1:14" x14ac:dyDescent="0.2">
      <c r="A227" s="53" t="s">
        <v>71</v>
      </c>
      <c r="B227" s="54" t="s">
        <v>264</v>
      </c>
      <c r="C227" s="34">
        <v>36382.5</v>
      </c>
      <c r="D227" s="35">
        <v>36382.5</v>
      </c>
      <c r="E227" s="100">
        <v>37474</v>
      </c>
      <c r="F227" s="36">
        <v>37474</v>
      </c>
      <c r="G227" s="35">
        <v>23000</v>
      </c>
      <c r="H227" s="35">
        <v>23000</v>
      </c>
      <c r="I227" s="35">
        <v>-14474</v>
      </c>
      <c r="J227" s="244">
        <v>-0.38624112718151249</v>
      </c>
    </row>
    <row r="228" spans="1:14" x14ac:dyDescent="0.2">
      <c r="A228" s="25" t="s">
        <v>224</v>
      </c>
      <c r="B228" s="26" t="s">
        <v>225</v>
      </c>
      <c r="C228" s="27">
        <v>52000</v>
      </c>
      <c r="D228" s="28">
        <v>52000</v>
      </c>
      <c r="E228" s="7">
        <v>52000</v>
      </c>
      <c r="F228" s="29">
        <v>52000</v>
      </c>
      <c r="G228" s="28">
        <v>90000</v>
      </c>
      <c r="H228" s="28">
        <v>90000</v>
      </c>
      <c r="I228" s="28">
        <v>38000</v>
      </c>
      <c r="J228" s="245">
        <v>0.73076923076923084</v>
      </c>
    </row>
    <row r="229" spans="1:14" ht="15" x14ac:dyDescent="0.25">
      <c r="A229" s="51"/>
      <c r="B229" s="43" t="s">
        <v>103</v>
      </c>
      <c r="C229" s="27"/>
      <c r="D229" s="41">
        <v>550234.5</v>
      </c>
      <c r="E229" s="7"/>
      <c r="F229" s="114">
        <v>554843</v>
      </c>
      <c r="G229" s="41">
        <v>578983</v>
      </c>
      <c r="H229" s="41">
        <v>558983</v>
      </c>
      <c r="I229" s="41">
        <v>4140</v>
      </c>
      <c r="J229" s="240">
        <v>7.461570209951196E-3</v>
      </c>
    </row>
    <row r="230" spans="1:14" ht="15" thickBot="1" x14ac:dyDescent="0.25">
      <c r="A230" s="84"/>
      <c r="B230" s="87"/>
      <c r="C230" s="88"/>
      <c r="D230" s="89"/>
      <c r="E230" s="103"/>
      <c r="F230" s="90"/>
      <c r="G230" s="91"/>
      <c r="H230" s="91"/>
      <c r="I230" s="92"/>
      <c r="J230" s="248"/>
    </row>
    <row r="231" spans="1:14" ht="16.5" thickTop="1" thickBot="1" x14ac:dyDescent="0.3">
      <c r="A231" s="86"/>
      <c r="B231" s="133" t="s">
        <v>74</v>
      </c>
      <c r="C231" s="39">
        <v>3575281.36</v>
      </c>
      <c r="D231" s="134">
        <v>3579055.3073499999</v>
      </c>
      <c r="E231" s="135">
        <v>3670901.2700000005</v>
      </c>
      <c r="F231" s="136">
        <v>3641940.7300000004</v>
      </c>
      <c r="G231" s="134">
        <v>3858745.21</v>
      </c>
      <c r="H231" s="134">
        <v>3824891.2546000001</v>
      </c>
      <c r="I231" s="134">
        <v>178682.5246</v>
      </c>
      <c r="J231" s="249">
        <v>5.0234349805028167E-2</v>
      </c>
    </row>
    <row r="233" spans="1:14" x14ac:dyDescent="0.2">
      <c r="H233" s="183"/>
    </row>
    <row r="234" spans="1:14" x14ac:dyDescent="0.2">
      <c r="H234" s="186"/>
    </row>
    <row r="235" spans="1:14" x14ac:dyDescent="0.2">
      <c r="H235" s="132"/>
    </row>
  </sheetData>
  <mergeCells count="8">
    <mergeCell ref="G1:I1"/>
    <mergeCell ref="L1:M1"/>
    <mergeCell ref="Q1:S1"/>
    <mergeCell ref="L2:M2"/>
    <mergeCell ref="M3:M4"/>
    <mergeCell ref="N3:N4"/>
    <mergeCell ref="Q3:S3"/>
    <mergeCell ref="Q4:S4"/>
  </mergeCells>
  <printOptions gridLines="1"/>
  <pageMargins left="0.7" right="0.7" top="0.75" bottom="0.75" header="0.3" footer="0.3"/>
  <pageSetup scale="78" orientation="landscape" r:id="rId1"/>
  <headerFooter>
    <oddFooter>&amp;L&amp;F&amp;CPage &amp;P of &amp;N&amp;RPrinted: &amp;D</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activeCell="F22" sqref="F22"/>
    </sheetView>
  </sheetViews>
  <sheetFormatPr defaultRowHeight="12.75" x14ac:dyDescent="0.2"/>
  <cols>
    <col min="1" max="1" width="18.6640625" style="185" customWidth="1"/>
    <col min="2" max="9" width="9.44140625" style="185" customWidth="1"/>
    <col min="10" max="10" width="8.77734375" style="185" customWidth="1"/>
    <col min="11" max="11" width="9.109375" style="185" bestFit="1" customWidth="1"/>
    <col min="12" max="12" width="13.21875" style="185" bestFit="1" customWidth="1"/>
    <col min="13" max="13" width="6.77734375" style="185" bestFit="1" customWidth="1"/>
    <col min="14" max="14" width="8.88671875" style="185"/>
    <col min="15" max="15" width="6.77734375" style="185" bestFit="1" customWidth="1"/>
    <col min="16" max="16384" width="8.88671875" style="185"/>
  </cols>
  <sheetData>
    <row r="1" spans="1:17" x14ac:dyDescent="0.2">
      <c r="A1" s="339" t="s">
        <v>604</v>
      </c>
    </row>
    <row r="2" spans="1:17" x14ac:dyDescent="0.2">
      <c r="A2" s="339"/>
    </row>
    <row r="4" spans="1:17" x14ac:dyDescent="0.2">
      <c r="A4" s="340" t="s">
        <v>594</v>
      </c>
    </row>
    <row r="5" spans="1:17" x14ac:dyDescent="0.2">
      <c r="A5" s="339"/>
      <c r="H5" s="339"/>
      <c r="I5" s="339"/>
    </row>
    <row r="6" spans="1:17" x14ac:dyDescent="0.2">
      <c r="B6" s="342" t="s">
        <v>590</v>
      </c>
      <c r="C6" s="342" t="s">
        <v>591</v>
      </c>
      <c r="D6" s="342" t="s">
        <v>592</v>
      </c>
      <c r="E6" s="342" t="s">
        <v>94</v>
      </c>
      <c r="F6" s="342" t="s">
        <v>169</v>
      </c>
      <c r="G6" s="342" t="s">
        <v>246</v>
      </c>
      <c r="H6" s="342" t="s">
        <v>593</v>
      </c>
      <c r="I6" s="339" t="s">
        <v>619</v>
      </c>
      <c r="J6" s="339"/>
      <c r="N6" s="341"/>
      <c r="O6" s="341"/>
      <c r="P6" s="341"/>
      <c r="Q6" s="341"/>
    </row>
    <row r="7" spans="1:17" ht="15.75" x14ac:dyDescent="0.25">
      <c r="A7" s="363" t="s">
        <v>622</v>
      </c>
      <c r="N7" s="341"/>
      <c r="O7" s="341"/>
      <c r="P7" s="341"/>
      <c r="Q7" s="341"/>
    </row>
    <row r="8" spans="1:17" x14ac:dyDescent="0.2">
      <c r="A8" s="368" t="s">
        <v>598</v>
      </c>
      <c r="B8" s="346">
        <v>190</v>
      </c>
      <c r="C8" s="346">
        <f>95+415</f>
        <v>510</v>
      </c>
      <c r="D8" s="346">
        <f>95+570+475</f>
        <v>1140</v>
      </c>
      <c r="E8" s="346">
        <v>535</v>
      </c>
      <c r="F8" s="346">
        <f>95+413+294</f>
        <v>802</v>
      </c>
      <c r="G8" s="346"/>
      <c r="H8" s="369">
        <v>269.95</v>
      </c>
      <c r="I8" s="370">
        <f t="shared" ref="I8:I19" si="0">SUM(B8:H8)/7</f>
        <v>492.42142857142852</v>
      </c>
      <c r="N8" s="341"/>
      <c r="O8" s="341"/>
      <c r="P8" s="341"/>
      <c r="Q8" s="341"/>
    </row>
    <row r="9" spans="1:17" x14ac:dyDescent="0.2">
      <c r="A9" s="368" t="s">
        <v>599</v>
      </c>
      <c r="B9" s="346"/>
      <c r="C9" s="346">
        <f>762+140+95</f>
        <v>997</v>
      </c>
      <c r="D9" s="346"/>
      <c r="E9" s="346">
        <v>95</v>
      </c>
      <c r="F9" s="346"/>
      <c r="G9" s="346">
        <f>1527.05+229.85</f>
        <v>1756.8999999999999</v>
      </c>
      <c r="H9" s="369">
        <v>294.89999999999998</v>
      </c>
      <c r="I9" s="370">
        <f t="shared" si="0"/>
        <v>449.1142857142857</v>
      </c>
      <c r="N9" s="341"/>
      <c r="O9" s="341"/>
      <c r="P9" s="341"/>
      <c r="Q9" s="341"/>
    </row>
    <row r="10" spans="1:17" x14ac:dyDescent="0.2">
      <c r="A10" s="368" t="s">
        <v>602</v>
      </c>
      <c r="B10" s="346"/>
      <c r="C10" s="346">
        <v>1422</v>
      </c>
      <c r="D10" s="346"/>
      <c r="E10" s="346"/>
      <c r="F10" s="346"/>
      <c r="G10" s="346">
        <v>95</v>
      </c>
      <c r="H10" s="369"/>
      <c r="I10" s="370">
        <f t="shared" si="0"/>
        <v>216.71428571428572</v>
      </c>
      <c r="N10" s="341"/>
      <c r="O10" s="341"/>
      <c r="P10" s="341"/>
      <c r="Q10" s="341"/>
    </row>
    <row r="11" spans="1:17" x14ac:dyDescent="0.2">
      <c r="A11" s="368" t="s">
        <v>603</v>
      </c>
      <c r="B11" s="346"/>
      <c r="C11" s="346">
        <v>95</v>
      </c>
      <c r="D11" s="346"/>
      <c r="E11" s="346">
        <v>424</v>
      </c>
      <c r="F11" s="346">
        <v>95</v>
      </c>
      <c r="G11" s="346">
        <f>279.94+369.5</f>
        <v>649.44000000000005</v>
      </c>
      <c r="H11" s="369"/>
      <c r="I11" s="370">
        <f t="shared" si="0"/>
        <v>180.49142857142857</v>
      </c>
      <c r="N11" s="341"/>
      <c r="O11" s="341"/>
      <c r="P11" s="341"/>
      <c r="Q11" s="341"/>
    </row>
    <row r="12" spans="1:17" x14ac:dyDescent="0.2">
      <c r="A12" s="368" t="s">
        <v>612</v>
      </c>
      <c r="B12" s="346">
        <v>380</v>
      </c>
      <c r="C12" s="346">
        <v>193</v>
      </c>
      <c r="D12" s="346">
        <v>250</v>
      </c>
      <c r="E12" s="346"/>
      <c r="F12" s="346"/>
      <c r="G12" s="346"/>
      <c r="H12" s="369"/>
      <c r="I12" s="370">
        <f t="shared" si="0"/>
        <v>117.57142857142857</v>
      </c>
      <c r="N12" s="341"/>
      <c r="O12" s="341"/>
      <c r="P12" s="341"/>
      <c r="Q12" s="341"/>
    </row>
    <row r="13" spans="1:17" x14ac:dyDescent="0.2">
      <c r="A13" s="344" t="s">
        <v>600</v>
      </c>
      <c r="B13" s="345">
        <v>290</v>
      </c>
      <c r="C13" s="347"/>
      <c r="D13" s="345"/>
      <c r="E13" s="345">
        <v>95</v>
      </c>
      <c r="F13" s="345"/>
      <c r="G13" s="345">
        <v>190</v>
      </c>
      <c r="H13" s="349">
        <v>95</v>
      </c>
      <c r="I13" s="351">
        <f t="shared" si="0"/>
        <v>95.714285714285708</v>
      </c>
      <c r="N13" s="341"/>
      <c r="O13" s="341"/>
      <c r="P13" s="341"/>
      <c r="Q13" s="341"/>
    </row>
    <row r="14" spans="1:17" x14ac:dyDescent="0.2">
      <c r="A14" s="344" t="s">
        <v>616</v>
      </c>
      <c r="B14" s="345"/>
      <c r="C14" s="345"/>
      <c r="D14" s="345"/>
      <c r="E14" s="345">
        <v>400</v>
      </c>
      <c r="F14" s="345"/>
      <c r="G14" s="345"/>
      <c r="H14" s="349"/>
      <c r="I14" s="351">
        <f t="shared" si="0"/>
        <v>57.142857142857146</v>
      </c>
      <c r="J14" s="350"/>
      <c r="K14" s="350"/>
      <c r="L14" s="350"/>
      <c r="M14" s="350"/>
      <c r="N14" s="350"/>
      <c r="O14" s="350"/>
    </row>
    <row r="15" spans="1:17" x14ac:dyDescent="0.2">
      <c r="A15" s="344" t="s">
        <v>614</v>
      </c>
      <c r="B15" s="345"/>
      <c r="C15" s="346">
        <v>95</v>
      </c>
      <c r="D15" s="345"/>
      <c r="E15" s="345"/>
      <c r="F15" s="345"/>
      <c r="G15" s="345">
        <v>294.75</v>
      </c>
      <c r="H15" s="349"/>
      <c r="I15" s="351">
        <f t="shared" si="0"/>
        <v>55.678571428571431</v>
      </c>
      <c r="J15" s="350"/>
      <c r="K15" s="350"/>
      <c r="L15" s="350"/>
      <c r="M15" s="350"/>
      <c r="N15" s="350"/>
      <c r="O15" s="350"/>
    </row>
    <row r="16" spans="1:17" x14ac:dyDescent="0.2">
      <c r="A16" s="344" t="s">
        <v>613</v>
      </c>
      <c r="B16" s="345"/>
      <c r="C16" s="347"/>
      <c r="D16" s="345"/>
      <c r="E16" s="345"/>
      <c r="F16" s="345"/>
      <c r="G16" s="345">
        <v>274.95</v>
      </c>
      <c r="H16" s="349"/>
      <c r="I16" s="351">
        <f t="shared" si="0"/>
        <v>39.278571428571425</v>
      </c>
      <c r="J16" s="350"/>
      <c r="K16" s="350"/>
      <c r="L16" s="350"/>
      <c r="M16" s="350"/>
      <c r="N16" s="350"/>
      <c r="O16" s="350"/>
    </row>
    <row r="17" spans="1:9" x14ac:dyDescent="0.2">
      <c r="A17" s="360" t="s">
        <v>601</v>
      </c>
      <c r="B17" s="355"/>
      <c r="C17" s="361"/>
      <c r="D17" s="355"/>
      <c r="E17" s="355">
        <v>206</v>
      </c>
      <c r="F17" s="355"/>
      <c r="G17" s="355"/>
      <c r="H17" s="356"/>
      <c r="I17" s="351">
        <f t="shared" si="0"/>
        <v>29.428571428571427</v>
      </c>
    </row>
    <row r="18" spans="1:9" x14ac:dyDescent="0.2">
      <c r="A18" s="360" t="s">
        <v>617</v>
      </c>
      <c r="B18" s="355"/>
      <c r="C18" s="362"/>
      <c r="D18" s="355"/>
      <c r="E18" s="355">
        <v>165</v>
      </c>
      <c r="F18" s="355"/>
      <c r="G18" s="355"/>
      <c r="H18" s="356"/>
      <c r="I18" s="351">
        <f t="shared" si="0"/>
        <v>23.571428571428573</v>
      </c>
    </row>
    <row r="19" spans="1:9" x14ac:dyDescent="0.2">
      <c r="A19" s="344" t="s">
        <v>611</v>
      </c>
      <c r="B19" s="345">
        <v>95</v>
      </c>
      <c r="C19" s="345"/>
      <c r="D19" s="345"/>
      <c r="E19" s="345"/>
      <c r="F19" s="345"/>
      <c r="G19" s="345"/>
      <c r="H19" s="345"/>
      <c r="I19" s="351">
        <f t="shared" si="0"/>
        <v>13.571428571428571</v>
      </c>
    </row>
    <row r="20" spans="1:9" x14ac:dyDescent="0.2">
      <c r="A20" s="350"/>
      <c r="B20" s="343"/>
      <c r="C20" s="343"/>
      <c r="D20" s="343"/>
      <c r="E20" s="343"/>
      <c r="F20" s="343"/>
      <c r="G20" s="343"/>
      <c r="H20" s="343"/>
      <c r="I20" s="352"/>
    </row>
    <row r="21" spans="1:9" ht="15.75" x14ac:dyDescent="0.25">
      <c r="A21" s="364" t="s">
        <v>621</v>
      </c>
      <c r="B21" s="343"/>
      <c r="C21" s="343"/>
      <c r="D21" s="343"/>
      <c r="E21" s="343"/>
      <c r="F21" s="343"/>
      <c r="G21" s="343"/>
      <c r="H21" s="343"/>
      <c r="I21" s="352"/>
    </row>
    <row r="22" spans="1:9" ht="38.25" x14ac:dyDescent="0.2">
      <c r="A22" s="348" t="s">
        <v>618</v>
      </c>
      <c r="B22" s="345">
        <v>95</v>
      </c>
      <c r="C22" s="346">
        <f>1431+620+1765+1210</f>
        <v>5026</v>
      </c>
      <c r="D22" s="345">
        <v>1348</v>
      </c>
      <c r="E22" s="345"/>
      <c r="F22" s="345">
        <f>1328+1103+190+946</f>
        <v>3567</v>
      </c>
      <c r="G22" s="345">
        <v>1202.68</v>
      </c>
      <c r="H22" s="345">
        <v>285</v>
      </c>
      <c r="I22" s="351">
        <f>SUM(B22:H22)/7</f>
        <v>1646.24</v>
      </c>
    </row>
    <row r="23" spans="1:9" x14ac:dyDescent="0.2">
      <c r="A23" s="357" t="s">
        <v>615</v>
      </c>
      <c r="B23" s="358"/>
      <c r="C23" s="358"/>
      <c r="D23" s="358">
        <f>4139+2400</f>
        <v>6539</v>
      </c>
      <c r="E23" s="358"/>
      <c r="F23" s="358"/>
      <c r="G23" s="358"/>
      <c r="H23" s="359"/>
      <c r="I23" s="351">
        <f>SUM(B23:H23)/7</f>
        <v>934.14285714285711</v>
      </c>
    </row>
    <row r="24" spans="1:9" x14ac:dyDescent="0.2">
      <c r="A24" s="350"/>
      <c r="B24" s="343"/>
      <c r="C24" s="343"/>
      <c r="D24" s="343"/>
      <c r="E24" s="343"/>
      <c r="F24" s="343"/>
      <c r="G24" s="343"/>
      <c r="H24" s="343"/>
      <c r="I24" s="352"/>
    </row>
    <row r="25" spans="1:9" x14ac:dyDescent="0.2">
      <c r="A25" s="339" t="s">
        <v>620</v>
      </c>
      <c r="B25" s="353">
        <f t="shared" ref="B25:G25" si="1">SUM(B7:B19)</f>
        <v>955</v>
      </c>
      <c r="C25" s="353">
        <f t="shared" si="1"/>
        <v>3312</v>
      </c>
      <c r="D25" s="353">
        <f t="shared" si="1"/>
        <v>1390</v>
      </c>
      <c r="E25" s="353">
        <f t="shared" si="1"/>
        <v>1920</v>
      </c>
      <c r="F25" s="353">
        <f t="shared" si="1"/>
        <v>897</v>
      </c>
      <c r="G25" s="353">
        <f t="shared" si="1"/>
        <v>3261.04</v>
      </c>
      <c r="H25" s="354">
        <f>944*2</f>
        <v>1888</v>
      </c>
      <c r="I25" s="371">
        <f>SUM(I8:I23)</f>
        <v>4351.0814285714287</v>
      </c>
    </row>
    <row r="29" spans="1:9" ht="15.75" x14ac:dyDescent="0.25">
      <c r="A29" s="363" t="s">
        <v>595</v>
      </c>
    </row>
    <row r="30" spans="1:9" ht="15" x14ac:dyDescent="0.2">
      <c r="A30"/>
    </row>
    <row r="31" spans="1:9" ht="15" x14ac:dyDescent="0.2">
      <c r="A31" s="365">
        <v>5000</v>
      </c>
      <c r="B31" t="s">
        <v>596</v>
      </c>
    </row>
    <row r="32" spans="1:9" ht="15" x14ac:dyDescent="0.2">
      <c r="A32" s="365">
        <v>0</v>
      </c>
      <c r="B32" t="s">
        <v>606</v>
      </c>
    </row>
    <row r="33" spans="1:2" ht="15" x14ac:dyDescent="0.2">
      <c r="A33" s="365">
        <v>300</v>
      </c>
      <c r="B33" t="s">
        <v>597</v>
      </c>
    </row>
    <row r="34" spans="1:2" ht="15" x14ac:dyDescent="0.2">
      <c r="A34" s="366"/>
    </row>
    <row r="35" spans="1:2" ht="15.75" x14ac:dyDescent="0.25">
      <c r="A35" s="367">
        <f>SUM(A31:A34)</f>
        <v>5300</v>
      </c>
    </row>
  </sheetData>
  <sortState ref="A7:I20">
    <sortCondition descending="1" ref="I7:I20"/>
  </sortState>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zoomScaleNormal="100" workbookViewId="0">
      <selection activeCell="I3" sqref="I3"/>
    </sheetView>
  </sheetViews>
  <sheetFormatPr defaultRowHeight="15" x14ac:dyDescent="0.25"/>
  <cols>
    <col min="1" max="1" width="18.88671875" style="150" customWidth="1"/>
    <col min="2" max="2" width="12.44140625" style="150" customWidth="1"/>
    <col min="3" max="3" width="8.5546875" style="150" customWidth="1"/>
    <col min="4" max="4" width="20.6640625" style="150" customWidth="1"/>
    <col min="5" max="5" width="14" style="150" customWidth="1"/>
    <col min="6" max="6" width="2.77734375" style="150" customWidth="1"/>
    <col min="7" max="7" width="16.21875" style="150" customWidth="1"/>
    <col min="8" max="8" width="11" style="150" bestFit="1" customWidth="1"/>
    <col min="9" max="9" width="13" style="150" bestFit="1" customWidth="1"/>
    <col min="10" max="10" width="4.33203125" style="150" customWidth="1"/>
    <col min="11" max="11" width="11" style="150" customWidth="1"/>
    <col min="12" max="16384" width="8.88671875" style="150"/>
  </cols>
  <sheetData>
    <row r="1" spans="1:15" ht="15.75" customHeight="1" x14ac:dyDescent="0.3">
      <c r="A1" s="443" t="s">
        <v>321</v>
      </c>
      <c r="B1" s="444"/>
      <c r="C1" s="445"/>
      <c r="D1" s="561"/>
      <c r="E1" s="562"/>
      <c r="F1" s="444"/>
      <c r="G1" s="443" t="s">
        <v>321</v>
      </c>
      <c r="K1" s="564"/>
      <c r="L1" s="564"/>
      <c r="M1" s="564"/>
      <c r="N1" s="564"/>
      <c r="O1" s="564"/>
    </row>
    <row r="2" spans="1:15" ht="15.75" x14ac:dyDescent="0.25">
      <c r="A2" s="448" t="s">
        <v>877</v>
      </c>
      <c r="B2" s="444"/>
      <c r="C2" s="449"/>
      <c r="D2" s="563"/>
      <c r="E2" s="562"/>
      <c r="F2" s="444"/>
      <c r="G2" s="448" t="s">
        <v>836</v>
      </c>
      <c r="I2" s="580">
        <v>43207</v>
      </c>
      <c r="J2" s="324"/>
      <c r="K2" s="564"/>
      <c r="L2" s="564"/>
      <c r="M2" s="564"/>
      <c r="N2" s="564"/>
      <c r="O2" s="564"/>
    </row>
    <row r="3" spans="1:15" x14ac:dyDescent="0.25">
      <c r="A3" s="447"/>
      <c r="B3" s="444"/>
      <c r="C3" s="444"/>
      <c r="D3" s="444"/>
      <c r="E3" s="444"/>
      <c r="F3" s="444"/>
      <c r="J3" s="324"/>
    </row>
    <row r="4" spans="1:15" ht="18.75" x14ac:dyDescent="0.3">
      <c r="A4" s="494"/>
      <c r="B4" s="495" t="s">
        <v>645</v>
      </c>
      <c r="C4" s="419"/>
      <c r="D4" s="494"/>
      <c r="E4" s="495" t="s">
        <v>646</v>
      </c>
      <c r="F4" s="260"/>
      <c r="G4" s="602" t="s">
        <v>739</v>
      </c>
      <c r="H4" s="603"/>
      <c r="I4" s="604"/>
      <c r="J4" s="324"/>
      <c r="K4" s="519" t="s">
        <v>615</v>
      </c>
    </row>
    <row r="5" spans="1:15" ht="15.75" x14ac:dyDescent="0.25">
      <c r="A5" s="572" t="s">
        <v>878</v>
      </c>
      <c r="B5" s="496">
        <v>3175954</v>
      </c>
      <c r="C5" s="174"/>
      <c r="D5" s="512" t="s">
        <v>325</v>
      </c>
      <c r="E5" s="428"/>
      <c r="F5" s="153"/>
      <c r="G5" s="605"/>
      <c r="H5" s="606"/>
      <c r="I5" s="607"/>
      <c r="J5" s="324"/>
      <c r="K5" s="520" t="s">
        <v>748</v>
      </c>
    </row>
    <row r="6" spans="1:15" x14ac:dyDescent="0.25">
      <c r="A6" s="497">
        <v>2.5000000000000001E-2</v>
      </c>
      <c r="B6" s="498">
        <f>TRUNC(B5*0.025,0)</f>
        <v>79398</v>
      </c>
      <c r="C6" s="373"/>
      <c r="D6" s="513" t="s">
        <v>326</v>
      </c>
      <c r="E6" s="496">
        <v>493</v>
      </c>
      <c r="F6" s="153"/>
      <c r="G6" s="432"/>
      <c r="H6" s="491" t="s">
        <v>463</v>
      </c>
      <c r="I6" s="492" t="s">
        <v>464</v>
      </c>
      <c r="J6" s="324"/>
      <c r="K6" s="521"/>
    </row>
    <row r="7" spans="1:15" x14ac:dyDescent="0.25">
      <c r="A7" s="499" t="s">
        <v>75</v>
      </c>
      <c r="B7" s="500">
        <v>7000</v>
      </c>
      <c r="C7" s="259"/>
      <c r="D7" s="513" t="s">
        <v>327</v>
      </c>
      <c r="E7" s="496">
        <v>3760</v>
      </c>
      <c r="F7" s="153"/>
      <c r="G7" s="493" t="s">
        <v>712</v>
      </c>
      <c r="H7" s="421">
        <v>103588.34</v>
      </c>
      <c r="I7" s="426">
        <v>62031.83</v>
      </c>
      <c r="J7" s="324"/>
      <c r="K7" s="570">
        <v>53757.17</v>
      </c>
    </row>
    <row r="8" spans="1:15" x14ac:dyDescent="0.25">
      <c r="A8" s="432"/>
      <c r="B8" s="496">
        <f>SUM(B5:B7)</f>
        <v>3262352</v>
      </c>
      <c r="C8" s="174"/>
      <c r="D8" s="513" t="s">
        <v>328</v>
      </c>
      <c r="E8" s="496">
        <v>1487</v>
      </c>
      <c r="F8" s="153"/>
      <c r="G8" s="425"/>
      <c r="H8" s="421"/>
      <c r="I8" s="426"/>
      <c r="J8" s="324"/>
      <c r="K8" s="549"/>
    </row>
    <row r="9" spans="1:15" x14ac:dyDescent="0.25">
      <c r="A9" s="499" t="s">
        <v>76</v>
      </c>
      <c r="B9" s="576">
        <v>0</v>
      </c>
      <c r="C9" s="259"/>
      <c r="D9" s="513" t="s">
        <v>329</v>
      </c>
      <c r="E9" s="501">
        <v>0</v>
      </c>
      <c r="F9" s="153"/>
      <c r="G9" s="427" t="s">
        <v>685</v>
      </c>
      <c r="H9" s="418"/>
      <c r="I9" s="428"/>
      <c r="J9" s="324"/>
      <c r="K9" s="549"/>
    </row>
    <row r="10" spans="1:15" ht="15.75" customHeight="1" x14ac:dyDescent="0.25">
      <c r="A10" s="572" t="s">
        <v>879</v>
      </c>
      <c r="B10" s="496">
        <f>B8+B9</f>
        <v>3262352</v>
      </c>
      <c r="C10" s="174"/>
      <c r="D10" s="513" t="s">
        <v>331</v>
      </c>
      <c r="E10" s="496">
        <v>133000</v>
      </c>
      <c r="F10" s="153"/>
      <c r="G10" s="429" t="s">
        <v>563</v>
      </c>
      <c r="H10" s="422">
        <v>33000</v>
      </c>
      <c r="I10" s="430">
        <v>0</v>
      </c>
      <c r="J10" s="324"/>
      <c r="K10" s="549"/>
    </row>
    <row r="11" spans="1:15" x14ac:dyDescent="0.25">
      <c r="A11" s="432"/>
      <c r="B11" s="501"/>
      <c r="C11" s="174"/>
      <c r="D11" s="513" t="s">
        <v>886</v>
      </c>
      <c r="E11" s="500">
        <v>31150</v>
      </c>
      <c r="F11" s="153"/>
      <c r="G11" s="431" t="s">
        <v>682</v>
      </c>
      <c r="H11" s="418"/>
      <c r="I11" s="430">
        <v>25000</v>
      </c>
      <c r="J11" s="324"/>
      <c r="K11" s="549"/>
    </row>
    <row r="12" spans="1:15" x14ac:dyDescent="0.25">
      <c r="A12" s="432" t="s">
        <v>77</v>
      </c>
      <c r="B12" s="496">
        <v>158409.5</v>
      </c>
      <c r="C12" s="174"/>
      <c r="D12" s="512" t="s">
        <v>350</v>
      </c>
      <c r="E12" s="496">
        <f>SUM(E6:E11)</f>
        <v>169890</v>
      </c>
      <c r="F12" s="171"/>
      <c r="G12" s="432"/>
      <c r="H12" s="151"/>
      <c r="I12" s="433"/>
      <c r="J12" s="324"/>
      <c r="K12" s="549"/>
    </row>
    <row r="13" spans="1:15" ht="15.75" customHeight="1" x14ac:dyDescent="0.25">
      <c r="A13" s="432" t="s">
        <v>733</v>
      </c>
      <c r="B13" s="496">
        <v>26353</v>
      </c>
      <c r="C13" s="174"/>
      <c r="D13" s="432"/>
      <c r="E13" s="502"/>
      <c r="F13" s="153"/>
      <c r="G13" s="434" t="s">
        <v>684</v>
      </c>
      <c r="H13" s="422"/>
      <c r="I13" s="430"/>
      <c r="J13" s="417"/>
      <c r="K13" s="549"/>
    </row>
    <row r="14" spans="1:15" x14ac:dyDescent="0.25">
      <c r="A14" s="432"/>
      <c r="B14" s="501"/>
      <c r="C14" s="174"/>
      <c r="D14" s="513" t="s">
        <v>855</v>
      </c>
      <c r="E14" s="496">
        <v>40000</v>
      </c>
      <c r="F14" s="153"/>
      <c r="G14" s="431"/>
      <c r="H14" s="422"/>
      <c r="I14" s="430"/>
      <c r="J14" s="324"/>
      <c r="K14" s="549"/>
    </row>
    <row r="15" spans="1:15" x14ac:dyDescent="0.25">
      <c r="A15" s="432" t="s">
        <v>333</v>
      </c>
      <c r="B15" s="502"/>
      <c r="C15" s="174"/>
      <c r="D15" s="513" t="s">
        <v>821</v>
      </c>
      <c r="E15" s="496">
        <f>37085+20000</f>
        <v>57085</v>
      </c>
      <c r="F15" s="153"/>
      <c r="G15" s="435"/>
      <c r="H15" s="420"/>
      <c r="I15" s="436"/>
      <c r="J15" s="324"/>
      <c r="K15" s="549"/>
    </row>
    <row r="16" spans="1:15" x14ac:dyDescent="0.25">
      <c r="A16" s="503" t="s">
        <v>589</v>
      </c>
      <c r="B16" s="496">
        <v>985373</v>
      </c>
      <c r="C16" s="174"/>
      <c r="D16" s="514"/>
      <c r="E16" s="578"/>
      <c r="F16" s="153"/>
      <c r="G16" s="437" t="s">
        <v>683</v>
      </c>
      <c r="H16" s="438">
        <f>H7+H10</f>
        <v>136588.34</v>
      </c>
      <c r="I16" s="439">
        <f>I7+I10+I11+I14</f>
        <v>87031.83</v>
      </c>
      <c r="J16" s="324"/>
      <c r="K16" s="550"/>
    </row>
    <row r="17" spans="1:12" x14ac:dyDescent="0.25">
      <c r="A17" s="504" t="s">
        <v>548</v>
      </c>
      <c r="B17" s="496">
        <v>235962</v>
      </c>
      <c r="C17" s="174"/>
      <c r="D17" s="515" t="s">
        <v>587</v>
      </c>
      <c r="E17" s="496">
        <f>E12+E14+E15</f>
        <v>266975</v>
      </c>
      <c r="F17" s="153"/>
      <c r="G17" s="324"/>
      <c r="H17" s="417"/>
      <c r="I17" s="417"/>
      <c r="J17" s="324"/>
      <c r="K17" s="260"/>
    </row>
    <row r="18" spans="1:12" x14ac:dyDescent="0.25">
      <c r="A18" s="505" t="s">
        <v>699</v>
      </c>
      <c r="B18" s="496">
        <v>11421</v>
      </c>
      <c r="C18" s="174"/>
      <c r="D18" s="514"/>
      <c r="E18" s="428"/>
      <c r="F18" s="153"/>
      <c r="J18" s="324"/>
      <c r="K18" s="551"/>
    </row>
    <row r="19" spans="1:12" x14ac:dyDescent="0.25">
      <c r="A19" s="499" t="s">
        <v>338</v>
      </c>
      <c r="B19" s="496">
        <v>12037</v>
      </c>
      <c r="C19" s="259"/>
      <c r="D19" s="432"/>
      <c r="E19" s="433"/>
      <c r="F19" s="153"/>
      <c r="G19" s="324"/>
      <c r="H19" s="324"/>
      <c r="I19" s="324"/>
      <c r="J19" s="324"/>
    </row>
    <row r="20" spans="1:12" ht="16.5" x14ac:dyDescent="0.25">
      <c r="A20" s="499" t="s">
        <v>339</v>
      </c>
      <c r="B20" s="496">
        <v>39126</v>
      </c>
      <c r="C20" s="174"/>
      <c r="D20" s="512" t="str">
        <f>"Total Budget"&amp;IF('FY19 Budget Details'!S3=1," (Requested)"," (Proposed)")</f>
        <v>Total Budget (Proposed)</v>
      </c>
      <c r="E20" s="507">
        <f>'FY19 Budget Details'!K218</f>
        <v>4467670.5</v>
      </c>
      <c r="F20" s="153"/>
      <c r="G20" s="614" t="s">
        <v>364</v>
      </c>
      <c r="H20" s="615"/>
      <c r="I20" s="616"/>
      <c r="J20" s="324"/>
      <c r="L20" s="149"/>
    </row>
    <row r="21" spans="1:12" x14ac:dyDescent="0.25">
      <c r="A21" s="579" t="s">
        <v>886</v>
      </c>
      <c r="B21" s="500">
        <v>3612</v>
      </c>
      <c r="C21" s="174"/>
      <c r="D21" s="432"/>
      <c r="E21" s="433"/>
      <c r="F21" s="153"/>
      <c r="G21" s="617" t="s">
        <v>700</v>
      </c>
      <c r="H21" s="618"/>
      <c r="I21" s="552">
        <v>230262</v>
      </c>
      <c r="J21" s="324"/>
      <c r="L21" s="411"/>
    </row>
    <row r="22" spans="1:12" x14ac:dyDescent="0.25">
      <c r="A22" s="499" t="s">
        <v>340</v>
      </c>
      <c r="B22" s="496">
        <f>SUM(B16:B21)</f>
        <v>1287531</v>
      </c>
      <c r="C22" s="174"/>
      <c r="D22" s="514"/>
      <c r="E22" s="428"/>
      <c r="F22" s="153"/>
      <c r="G22" s="472"/>
      <c r="H22" s="473" t="s">
        <v>626</v>
      </c>
      <c r="I22" s="441">
        <v>33000</v>
      </c>
      <c r="J22" s="324"/>
      <c r="L22" s="415"/>
    </row>
    <row r="23" spans="1:12" x14ac:dyDescent="0.25">
      <c r="A23" s="432"/>
      <c r="B23" s="501"/>
      <c r="C23" s="174"/>
      <c r="D23" s="514"/>
      <c r="E23" s="428"/>
      <c r="F23" s="153"/>
      <c r="G23" s="610" t="s">
        <v>625</v>
      </c>
      <c r="H23" s="611"/>
      <c r="I23" s="441">
        <v>0</v>
      </c>
      <c r="J23" s="324"/>
    </row>
    <row r="24" spans="1:12" x14ac:dyDescent="0.25">
      <c r="A24" s="506" t="s">
        <v>341</v>
      </c>
      <c r="B24" s="501"/>
      <c r="C24" s="424"/>
      <c r="D24" s="514"/>
      <c r="E24" s="428"/>
      <c r="F24" s="153"/>
      <c r="G24" s="472"/>
      <c r="H24" s="473" t="s">
        <v>634</v>
      </c>
      <c r="I24" s="441">
        <v>5000</v>
      </c>
      <c r="J24" s="324"/>
    </row>
    <row r="25" spans="1:12" x14ac:dyDescent="0.25">
      <c r="A25" s="515" t="s">
        <v>560</v>
      </c>
      <c r="B25" s="501">
        <v>0</v>
      </c>
      <c r="C25" s="174"/>
      <c r="D25" s="512"/>
      <c r="E25" s="428"/>
      <c r="F25" s="153"/>
      <c r="G25" s="472"/>
      <c r="H25" s="473" t="s">
        <v>623</v>
      </c>
      <c r="I25" s="441">
        <v>2000</v>
      </c>
      <c r="J25" s="324"/>
    </row>
    <row r="26" spans="1:12" x14ac:dyDescent="0.25">
      <c r="A26" s="515"/>
      <c r="B26" s="501"/>
      <c r="C26" s="259"/>
      <c r="D26" s="432"/>
      <c r="E26" s="433"/>
      <c r="F26" s="153"/>
      <c r="G26" s="472"/>
      <c r="H26" s="473" t="s">
        <v>624</v>
      </c>
      <c r="I26" s="441">
        <v>2167</v>
      </c>
      <c r="J26" s="324"/>
      <c r="K26" s="149"/>
    </row>
    <row r="27" spans="1:12" ht="15.75" thickBot="1" x14ac:dyDescent="0.3">
      <c r="A27" s="432"/>
      <c r="B27" s="577"/>
      <c r="C27" s="174"/>
      <c r="D27" s="514"/>
      <c r="E27" s="516"/>
      <c r="F27" s="168"/>
      <c r="G27" s="472"/>
      <c r="H27" s="473" t="s">
        <v>627</v>
      </c>
      <c r="I27" s="441">
        <v>4000</v>
      </c>
      <c r="J27" s="324"/>
      <c r="K27" s="416"/>
    </row>
    <row r="28" spans="1:12" x14ac:dyDescent="0.25">
      <c r="A28" s="508" t="s">
        <v>584</v>
      </c>
      <c r="B28" s="509">
        <f>B10+B12+B13+B22+B25+B26</f>
        <v>4734645.5</v>
      </c>
      <c r="C28" s="153"/>
      <c r="D28" s="517" t="s">
        <v>585</v>
      </c>
      <c r="E28" s="509">
        <f>E17+E20</f>
        <v>4734645.5</v>
      </c>
      <c r="F28" s="153"/>
      <c r="G28" s="472"/>
      <c r="H28" s="586" t="s">
        <v>885</v>
      </c>
      <c r="I28" s="441">
        <v>183000</v>
      </c>
      <c r="J28" s="324"/>
    </row>
    <row r="29" spans="1:12" x14ac:dyDescent="0.25">
      <c r="A29" s="510"/>
      <c r="B29" s="511"/>
      <c r="C29" s="153"/>
      <c r="D29" s="518"/>
      <c r="E29" s="500"/>
      <c r="F29" s="153"/>
      <c r="G29" s="472"/>
      <c r="H29" s="586" t="s">
        <v>887</v>
      </c>
      <c r="I29" s="441">
        <v>500</v>
      </c>
      <c r="J29" s="324"/>
    </row>
    <row r="30" spans="1:12" x14ac:dyDescent="0.25">
      <c r="B30" s="151"/>
      <c r="C30" s="153"/>
      <c r="D30" s="159"/>
      <c r="E30" s="151"/>
      <c r="F30" s="153"/>
      <c r="G30" s="472"/>
      <c r="H30" s="473" t="s">
        <v>896</v>
      </c>
      <c r="I30" s="441">
        <v>0</v>
      </c>
      <c r="J30" s="325"/>
    </row>
    <row r="31" spans="1:12" ht="18.75" x14ac:dyDescent="0.3">
      <c r="C31" s="153"/>
      <c r="D31" s="337" t="s">
        <v>461</v>
      </c>
      <c r="E31" s="574">
        <f>B28-E28</f>
        <v>0</v>
      </c>
      <c r="F31" s="153"/>
      <c r="G31" s="522"/>
      <c r="H31" s="523"/>
      <c r="I31" s="524"/>
      <c r="J31" s="324"/>
    </row>
    <row r="32" spans="1:12" ht="15.75" customHeight="1" x14ac:dyDescent="0.3">
      <c r="C32" s="153"/>
      <c r="D32" s="337"/>
      <c r="E32" s="338"/>
      <c r="G32" s="612" t="s">
        <v>740</v>
      </c>
      <c r="H32" s="613"/>
      <c r="I32" s="442">
        <f>SUM(I22:I30)</f>
        <v>229667</v>
      </c>
      <c r="J32" s="324"/>
    </row>
    <row r="33" spans="1:5" ht="18.75" x14ac:dyDescent="0.3">
      <c r="C33" s="153"/>
      <c r="D33" s="337"/>
      <c r="E33" s="338"/>
    </row>
    <row r="34" spans="1:5" ht="15" customHeight="1" x14ac:dyDescent="0.3">
      <c r="C34" s="153"/>
      <c r="D34" s="337"/>
      <c r="E34" s="338"/>
    </row>
    <row r="35" spans="1:5" ht="15.75" customHeight="1" x14ac:dyDescent="0.25">
      <c r="B35" s="153"/>
      <c r="C35" s="153"/>
      <c r="D35" s="331"/>
      <c r="E35" s="153"/>
    </row>
    <row r="36" spans="1:5" x14ac:dyDescent="0.25">
      <c r="A36" s="609" t="s">
        <v>895</v>
      </c>
      <c r="B36" s="609"/>
      <c r="C36" s="609"/>
      <c r="D36" s="609"/>
      <c r="E36" s="609"/>
    </row>
    <row r="37" spans="1:5" x14ac:dyDescent="0.25">
      <c r="A37" s="609"/>
      <c r="B37" s="609"/>
      <c r="C37" s="609"/>
      <c r="D37" s="609"/>
      <c r="E37" s="609"/>
    </row>
    <row r="38" spans="1:5" x14ac:dyDescent="0.25">
      <c r="A38" s="609"/>
      <c r="B38" s="609"/>
      <c r="C38" s="609"/>
      <c r="D38" s="609"/>
      <c r="E38" s="609"/>
    </row>
    <row r="39" spans="1:5" x14ac:dyDescent="0.25">
      <c r="A39" s="609"/>
      <c r="B39" s="609"/>
      <c r="C39" s="609"/>
      <c r="D39" s="609"/>
      <c r="E39" s="609"/>
    </row>
    <row r="40" spans="1:5" x14ac:dyDescent="0.25">
      <c r="A40" s="608"/>
      <c r="B40" s="608"/>
      <c r="C40" s="608"/>
      <c r="D40" s="608"/>
      <c r="E40" s="608"/>
    </row>
  </sheetData>
  <mergeCells count="7">
    <mergeCell ref="G4:I5"/>
    <mergeCell ref="A40:E40"/>
    <mergeCell ref="A36:E39"/>
    <mergeCell ref="G23:H23"/>
    <mergeCell ref="G32:H32"/>
    <mergeCell ref="G20:I20"/>
    <mergeCell ref="G21:H21"/>
  </mergeCells>
  <conditionalFormatting sqref="E32:E34">
    <cfRule type="cellIs" dxfId="5" priority="7" operator="lessThan">
      <formula>0</formula>
    </cfRule>
  </conditionalFormatting>
  <conditionalFormatting sqref="I32">
    <cfRule type="cellIs" dxfId="4" priority="3" operator="greaterThan">
      <formula>$I$21</formula>
    </cfRule>
  </conditionalFormatting>
  <conditionalFormatting sqref="E31">
    <cfRule type="cellIs" dxfId="3" priority="1" operator="lessThan">
      <formula>0</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17"/>
  <sheetViews>
    <sheetView zoomScaleNormal="100" zoomScaleSheetLayoutView="75" workbookViewId="0">
      <pane xSplit="2" ySplit="5" topLeftCell="C6" activePane="bottomRight" state="frozen"/>
      <selection activeCell="H29" sqref="H29"/>
      <selection pane="topRight" activeCell="H29" sqref="H29"/>
      <selection pane="bottomLeft" activeCell="H29" sqref="H29"/>
      <selection pane="bottomRight" activeCell="K215" sqref="K215"/>
    </sheetView>
  </sheetViews>
  <sheetFormatPr defaultColWidth="11.5546875" defaultRowHeight="14.25" x14ac:dyDescent="0.2"/>
  <cols>
    <col min="1" max="1" width="12.5546875" style="4" customWidth="1"/>
    <col min="2" max="2" width="31.109375" style="4" customWidth="1"/>
    <col min="3" max="3" width="13" style="80" hidden="1" customWidth="1"/>
    <col min="4" max="4" width="12.109375" style="80" hidden="1" customWidth="1"/>
    <col min="5" max="6" width="13" style="81" hidden="1" customWidth="1"/>
    <col min="7" max="7" width="13" style="81" customWidth="1"/>
    <col min="8" max="12" width="13" style="80" customWidth="1"/>
    <col min="13" max="13" width="10" style="3" customWidth="1"/>
    <col min="14" max="14" width="2.5546875" style="4" customWidth="1"/>
    <col min="15" max="15" width="15.21875" style="4" customWidth="1"/>
    <col min="16" max="16" width="8.6640625" style="4" customWidth="1"/>
    <col min="17" max="17" width="11.44140625" style="4" customWidth="1"/>
    <col min="18" max="18" width="3.109375" style="4" customWidth="1"/>
    <col min="19" max="19" width="9.33203125" style="4" customWidth="1"/>
    <col min="20" max="21" width="11.5546875" style="4"/>
    <col min="22" max="22" width="14.44140625" style="4" customWidth="1"/>
    <col min="23" max="16384" width="11.5546875" style="4"/>
  </cols>
  <sheetData>
    <row r="1" spans="1:26" ht="21" customHeight="1" thickBot="1" x14ac:dyDescent="0.35">
      <c r="A1" s="489" t="s">
        <v>426</v>
      </c>
      <c r="B1" s="450"/>
      <c r="C1" s="451"/>
      <c r="D1" s="451"/>
      <c r="E1" s="451"/>
      <c r="F1" s="619"/>
      <c r="G1" s="619"/>
      <c r="H1" s="619"/>
      <c r="I1" s="571"/>
      <c r="J1" s="626" t="str">
        <f>A2&amp;" Budget"</f>
        <v>FY19 Budget</v>
      </c>
      <c r="K1" s="626"/>
      <c r="L1" s="626"/>
      <c r="O1" s="627" t="s">
        <v>282</v>
      </c>
      <c r="P1" s="628"/>
      <c r="Q1" s="526">
        <f>Q218</f>
        <v>6858.4799999999977</v>
      </c>
      <c r="S1" s="525">
        <v>0.02</v>
      </c>
      <c r="T1" s="624" t="s">
        <v>265</v>
      </c>
      <c r="U1" s="624"/>
      <c r="V1" s="625"/>
    </row>
    <row r="2" spans="1:26" ht="15.75" customHeight="1" thickBot="1" x14ac:dyDescent="0.3">
      <c r="A2" s="446" t="s">
        <v>880</v>
      </c>
      <c r="B2" s="446"/>
      <c r="C2" s="452"/>
      <c r="D2" s="452"/>
      <c r="E2" s="452"/>
      <c r="F2" s="619"/>
      <c r="G2" s="619"/>
      <c r="H2" s="619"/>
      <c r="I2" s="571"/>
      <c r="J2" s="453"/>
      <c r="K2" s="454"/>
      <c r="L2" s="454"/>
      <c r="O2" s="629"/>
      <c r="P2" s="629"/>
      <c r="Q2" s="109" t="s">
        <v>384</v>
      </c>
      <c r="S2" s="327"/>
      <c r="T2" s="328"/>
      <c r="U2" s="328"/>
      <c r="V2" s="328"/>
    </row>
    <row r="3" spans="1:26" ht="16.5" customHeight="1" thickBot="1" x14ac:dyDescent="0.3">
      <c r="A3" s="490" t="s">
        <v>652</v>
      </c>
      <c r="B3" s="446"/>
      <c r="C3" s="455" t="s">
        <v>90</v>
      </c>
      <c r="D3" s="456" t="s">
        <v>90</v>
      </c>
      <c r="E3" s="456" t="s">
        <v>90</v>
      </c>
      <c r="F3" s="456" t="s">
        <v>90</v>
      </c>
      <c r="G3" s="456" t="s">
        <v>90</v>
      </c>
      <c r="H3" s="458" t="s">
        <v>90</v>
      </c>
      <c r="I3" s="456" t="s">
        <v>90</v>
      </c>
      <c r="J3" s="457" t="s">
        <v>91</v>
      </c>
      <c r="K3" s="458" t="s">
        <v>450</v>
      </c>
      <c r="L3" s="459" t="s">
        <v>92</v>
      </c>
      <c r="M3" s="387" t="str">
        <f>IF(S3=1,"Requested","Proposed")</f>
        <v>Proposed</v>
      </c>
      <c r="N3" s="12"/>
      <c r="P3" s="630" t="s">
        <v>266</v>
      </c>
      <c r="Q3" s="630" t="s">
        <v>267</v>
      </c>
      <c r="R3" s="13"/>
      <c r="S3" s="573">
        <v>2</v>
      </c>
      <c r="T3" s="621" t="s">
        <v>744</v>
      </c>
      <c r="U3" s="621"/>
      <c r="V3" s="622"/>
      <c r="X3" s="620"/>
      <c r="Y3" s="620"/>
      <c r="Z3" s="620"/>
    </row>
    <row r="4" spans="1:26" ht="15" x14ac:dyDescent="0.25">
      <c r="B4" s="14"/>
      <c r="C4" s="384" t="s">
        <v>169</v>
      </c>
      <c r="D4" s="385" t="s">
        <v>246</v>
      </c>
      <c r="E4" s="385" t="s">
        <v>449</v>
      </c>
      <c r="F4" s="385" t="s">
        <v>521</v>
      </c>
      <c r="G4" s="385" t="s">
        <v>648</v>
      </c>
      <c r="H4" s="98" t="s">
        <v>714</v>
      </c>
      <c r="I4" s="385" t="s">
        <v>841</v>
      </c>
      <c r="J4" s="12" t="str">
        <f>A2</f>
        <v>FY19</v>
      </c>
      <c r="K4" s="98" t="str">
        <f>A2</f>
        <v>FY19</v>
      </c>
      <c r="L4" s="386" t="s">
        <v>881</v>
      </c>
      <c r="M4" s="387" t="s">
        <v>658</v>
      </c>
      <c r="O4" s="19"/>
      <c r="P4" s="631"/>
      <c r="Q4" s="631"/>
      <c r="R4" s="13"/>
      <c r="S4" s="13"/>
      <c r="T4" s="623" t="s">
        <v>809</v>
      </c>
      <c r="U4" s="623"/>
      <c r="V4" s="623"/>
    </row>
    <row r="5" spans="1:26" ht="15" x14ac:dyDescent="0.25">
      <c r="A5" s="474" t="s">
        <v>248</v>
      </c>
      <c r="B5" s="474"/>
      <c r="C5" s="474"/>
      <c r="D5" s="474"/>
      <c r="E5" s="474"/>
      <c r="F5" s="474"/>
      <c r="G5" s="474"/>
      <c r="H5" s="474"/>
      <c r="I5" s="474"/>
      <c r="J5" s="474"/>
      <c r="K5" s="474"/>
      <c r="L5" s="474"/>
      <c r="M5" s="379"/>
      <c r="N5" s="19"/>
      <c r="O5" s="19"/>
      <c r="P5" s="20"/>
      <c r="Q5" s="21"/>
      <c r="R5" s="13"/>
      <c r="S5" s="13"/>
    </row>
    <row r="6" spans="1:26" x14ac:dyDescent="0.2">
      <c r="A6" s="25" t="s">
        <v>95</v>
      </c>
      <c r="B6" s="26" t="s">
        <v>568</v>
      </c>
      <c r="C6" s="376">
        <v>111.1</v>
      </c>
      <c r="D6" s="27">
        <v>113.322</v>
      </c>
      <c r="E6" s="27">
        <v>114.74</v>
      </c>
      <c r="F6" s="27">
        <v>114.74</v>
      </c>
      <c r="G6" s="27">
        <v>114.74</v>
      </c>
      <c r="H6" s="125">
        <v>114.74</v>
      </c>
      <c r="I6" s="396">
        <v>114.74</v>
      </c>
      <c r="J6" s="7">
        <v>114.74</v>
      </c>
      <c r="K6" s="7">
        <v>114.74</v>
      </c>
      <c r="L6" s="376">
        <f t="shared" ref="L6:L15" si="0">IF($S$3=1,J6-I6,K6-I6)</f>
        <v>0</v>
      </c>
      <c r="M6" s="377">
        <f t="shared" ref="M6:M15" si="1">(IF($S$3=1,J6/I6-1,K6/I6-1))</f>
        <v>0</v>
      </c>
      <c r="N6" s="377"/>
      <c r="O6" s="19"/>
      <c r="P6" s="30"/>
      <c r="Q6" s="31">
        <f t="shared" ref="Q6:Q70" si="2">ROUND(IF(P6="Y",H6*$S$1,0),2)</f>
        <v>0</v>
      </c>
    </row>
    <row r="7" spans="1:26" x14ac:dyDescent="0.2">
      <c r="A7" s="25" t="s">
        <v>215</v>
      </c>
      <c r="B7" s="26" t="s">
        <v>813</v>
      </c>
      <c r="C7" s="376">
        <v>987.91</v>
      </c>
      <c r="D7" s="27">
        <v>1007.6682</v>
      </c>
      <c r="E7" s="27">
        <v>1020.27</v>
      </c>
      <c r="F7" s="27">
        <v>1033.02</v>
      </c>
      <c r="G7" s="27">
        <v>1053.68</v>
      </c>
      <c r="H7" s="7">
        <v>1479</v>
      </c>
      <c r="I7" s="27">
        <v>1523.37</v>
      </c>
      <c r="J7" s="7">
        <v>1569.07</v>
      </c>
      <c r="K7" s="7">
        <f>I7*1.02</f>
        <v>1553.8373999999999</v>
      </c>
      <c r="L7" s="376">
        <f t="shared" si="0"/>
        <v>30.467399999999998</v>
      </c>
      <c r="M7" s="377">
        <f t="shared" si="1"/>
        <v>2.0000000000000018E-2</v>
      </c>
      <c r="N7" s="377"/>
      <c r="P7" s="30" t="s">
        <v>209</v>
      </c>
      <c r="Q7" s="31">
        <f t="shared" si="2"/>
        <v>29.58</v>
      </c>
    </row>
    <row r="8" spans="1:26" x14ac:dyDescent="0.2">
      <c r="A8" s="25" t="s">
        <v>221</v>
      </c>
      <c r="B8" s="26" t="s">
        <v>222</v>
      </c>
      <c r="C8" s="376">
        <v>4600</v>
      </c>
      <c r="D8" s="27">
        <v>4600</v>
      </c>
      <c r="E8" s="27">
        <v>4600</v>
      </c>
      <c r="F8" s="27">
        <v>2300</v>
      </c>
      <c r="G8" s="27">
        <v>2300</v>
      </c>
      <c r="H8" s="7">
        <v>2300</v>
      </c>
      <c r="I8" s="27">
        <v>2300</v>
      </c>
      <c r="J8" s="7">
        <v>2415</v>
      </c>
      <c r="K8" s="7">
        <v>2300</v>
      </c>
      <c r="L8" s="376">
        <f t="shared" si="0"/>
        <v>0</v>
      </c>
      <c r="M8" s="377">
        <f t="shared" si="1"/>
        <v>0</v>
      </c>
      <c r="N8" s="377"/>
      <c r="P8" s="30"/>
      <c r="Q8" s="31">
        <f t="shared" si="2"/>
        <v>0</v>
      </c>
    </row>
    <row r="9" spans="1:26" x14ac:dyDescent="0.2">
      <c r="A9" s="25" t="s">
        <v>217</v>
      </c>
      <c r="B9" s="26" t="s">
        <v>218</v>
      </c>
      <c r="C9" s="376">
        <v>50000</v>
      </c>
      <c r="D9" s="27">
        <v>50000</v>
      </c>
      <c r="E9" s="27">
        <v>50000</v>
      </c>
      <c r="F9" s="27">
        <v>50000</v>
      </c>
      <c r="G9" s="27">
        <v>50000</v>
      </c>
      <c r="H9" s="7">
        <v>50000</v>
      </c>
      <c r="I9" s="27">
        <v>50000</v>
      </c>
      <c r="J9" s="7">
        <v>50000</v>
      </c>
      <c r="K9" s="7">
        <v>50000</v>
      </c>
      <c r="L9" s="376">
        <f t="shared" si="0"/>
        <v>0</v>
      </c>
      <c r="M9" s="377">
        <f t="shared" si="1"/>
        <v>0</v>
      </c>
      <c r="N9" s="377"/>
      <c r="P9" s="30"/>
      <c r="Q9" s="31">
        <f t="shared" si="2"/>
        <v>0</v>
      </c>
    </row>
    <row r="10" spans="1:26" x14ac:dyDescent="0.2">
      <c r="A10" s="32" t="s">
        <v>214</v>
      </c>
      <c r="B10" s="37" t="s">
        <v>525</v>
      </c>
      <c r="C10" s="388">
        <v>14243.45</v>
      </c>
      <c r="D10" s="34">
        <v>14530</v>
      </c>
      <c r="E10" s="34">
        <v>17000</v>
      </c>
      <c r="F10" s="34">
        <v>17000</v>
      </c>
      <c r="G10" s="34">
        <v>17000</v>
      </c>
      <c r="H10" s="100">
        <v>17000</v>
      </c>
      <c r="I10" s="34">
        <v>17000</v>
      </c>
      <c r="J10" s="100">
        <v>19473.5</v>
      </c>
      <c r="K10" s="100">
        <v>19473.5</v>
      </c>
      <c r="L10" s="376">
        <f t="shared" si="0"/>
        <v>2473.5</v>
      </c>
      <c r="M10" s="377">
        <f t="shared" si="1"/>
        <v>0.14549999999999996</v>
      </c>
      <c r="N10" s="377"/>
      <c r="P10" s="30"/>
      <c r="Q10" s="31">
        <f t="shared" si="2"/>
        <v>0</v>
      </c>
    </row>
    <row r="11" spans="1:26" x14ac:dyDescent="0.2">
      <c r="A11" s="25" t="s">
        <v>269</v>
      </c>
      <c r="B11" s="26" t="s">
        <v>800</v>
      </c>
      <c r="C11" s="376">
        <v>14000</v>
      </c>
      <c r="D11" s="27">
        <v>14420</v>
      </c>
      <c r="E11" s="27">
        <v>14708.4</v>
      </c>
      <c r="F11" s="27">
        <v>16500</v>
      </c>
      <c r="G11" s="27">
        <v>21500</v>
      </c>
      <c r="H11" s="7">
        <v>24500</v>
      </c>
      <c r="I11" s="27">
        <v>27500</v>
      </c>
      <c r="J11" s="7">
        <v>50000</v>
      </c>
      <c r="K11" s="7">
        <v>39500</v>
      </c>
      <c r="L11" s="376">
        <f t="shared" si="0"/>
        <v>12000</v>
      </c>
      <c r="M11" s="377">
        <f t="shared" si="1"/>
        <v>0.43636363636363629</v>
      </c>
      <c r="N11" s="377"/>
      <c r="P11" s="30"/>
      <c r="Q11" s="31">
        <f t="shared" si="2"/>
        <v>0</v>
      </c>
    </row>
    <row r="12" spans="1:26" x14ac:dyDescent="0.2">
      <c r="A12" s="25" t="s">
        <v>219</v>
      </c>
      <c r="B12" s="26" t="s">
        <v>220</v>
      </c>
      <c r="C12" s="376">
        <v>3000</v>
      </c>
      <c r="D12" s="27">
        <v>3000</v>
      </c>
      <c r="E12" s="27">
        <v>3000</v>
      </c>
      <c r="F12" s="27">
        <v>500</v>
      </c>
      <c r="G12" s="27">
        <v>500</v>
      </c>
      <c r="H12" s="7">
        <v>500</v>
      </c>
      <c r="I12" s="27">
        <v>500</v>
      </c>
      <c r="J12" s="7">
        <v>525</v>
      </c>
      <c r="K12" s="7">
        <v>500</v>
      </c>
      <c r="L12" s="376">
        <f t="shared" si="0"/>
        <v>0</v>
      </c>
      <c r="M12" s="377">
        <f t="shared" si="1"/>
        <v>0</v>
      </c>
      <c r="N12" s="377"/>
      <c r="P12" s="30"/>
      <c r="Q12" s="31">
        <f t="shared" si="2"/>
        <v>0</v>
      </c>
    </row>
    <row r="13" spans="1:26" x14ac:dyDescent="0.2">
      <c r="A13" s="25" t="s">
        <v>281</v>
      </c>
      <c r="B13" s="26" t="s">
        <v>523</v>
      </c>
      <c r="C13" s="376">
        <v>1000</v>
      </c>
      <c r="D13" s="27">
        <v>1000</v>
      </c>
      <c r="E13" s="27">
        <v>1000</v>
      </c>
      <c r="F13" s="27">
        <v>1000</v>
      </c>
      <c r="G13" s="27">
        <v>1000</v>
      </c>
      <c r="H13" s="7">
        <v>1000</v>
      </c>
      <c r="I13" s="27">
        <v>1000</v>
      </c>
      <c r="J13" s="7">
        <v>1050</v>
      </c>
      <c r="K13" s="7">
        <v>1000</v>
      </c>
      <c r="L13" s="376">
        <f t="shared" si="0"/>
        <v>0</v>
      </c>
      <c r="M13" s="377">
        <f t="shared" si="1"/>
        <v>0</v>
      </c>
      <c r="N13" s="377"/>
      <c r="P13" s="30"/>
      <c r="Q13" s="31">
        <f t="shared" si="2"/>
        <v>0</v>
      </c>
    </row>
    <row r="14" spans="1:26" x14ac:dyDescent="0.2">
      <c r="A14" s="25" t="s">
        <v>105</v>
      </c>
      <c r="B14" s="26" t="s">
        <v>211</v>
      </c>
      <c r="C14" s="376">
        <v>261</v>
      </c>
      <c r="D14" s="27">
        <v>275.7</v>
      </c>
      <c r="E14" s="27">
        <v>275.7</v>
      </c>
      <c r="F14" s="27">
        <v>275.7</v>
      </c>
      <c r="G14" s="27">
        <v>275.7</v>
      </c>
      <c r="H14" s="7">
        <v>282.58999999999997</v>
      </c>
      <c r="I14" s="27">
        <v>289.37</v>
      </c>
      <c r="J14" s="7">
        <v>303.83999999999997</v>
      </c>
      <c r="K14" s="7">
        <v>296.62</v>
      </c>
      <c r="L14" s="376">
        <f t="shared" si="0"/>
        <v>7.25</v>
      </c>
      <c r="M14" s="377">
        <f t="shared" si="1"/>
        <v>2.5054428586239075E-2</v>
      </c>
      <c r="N14" s="377"/>
      <c r="P14" s="30"/>
      <c r="Q14" s="31">
        <f t="shared" si="2"/>
        <v>0</v>
      </c>
    </row>
    <row r="15" spans="1:26" ht="15" x14ac:dyDescent="0.25">
      <c r="A15" s="38"/>
      <c r="B15" s="43" t="s">
        <v>103</v>
      </c>
      <c r="C15" s="380">
        <v>88203.46</v>
      </c>
      <c r="D15" s="394">
        <v>88946.690199999997</v>
      </c>
      <c r="E15" s="39">
        <v>91719.11</v>
      </c>
      <c r="F15" s="39">
        <v>88723.46</v>
      </c>
      <c r="G15" s="39">
        <v>93744.1204</v>
      </c>
      <c r="H15" s="101">
        <v>97176.329999999987</v>
      </c>
      <c r="I15" s="39">
        <v>100227.48</v>
      </c>
      <c r="J15" s="101">
        <f>SUM(J6:J14)</f>
        <v>125451.15</v>
      </c>
      <c r="K15" s="101">
        <f>SUM(K6:K14)</f>
        <v>114738.6974</v>
      </c>
      <c r="L15" s="382">
        <f t="shared" si="0"/>
        <v>14511.217400000009</v>
      </c>
      <c r="M15" s="377">
        <f t="shared" si="1"/>
        <v>0.14478282203643156</v>
      </c>
      <c r="N15" s="377"/>
      <c r="P15" s="30"/>
      <c r="Q15" s="31">
        <f t="shared" si="2"/>
        <v>0</v>
      </c>
    </row>
    <row r="16" spans="1:26" ht="15" x14ac:dyDescent="0.25">
      <c r="A16" s="474" t="s">
        <v>250</v>
      </c>
      <c r="B16" s="474"/>
      <c r="C16" s="475"/>
      <c r="D16" s="474"/>
      <c r="E16" s="474"/>
      <c r="F16" s="474"/>
      <c r="G16" s="474"/>
      <c r="H16" s="474"/>
      <c r="I16" s="474"/>
      <c r="J16" s="476"/>
      <c r="K16" s="474"/>
      <c r="L16" s="474"/>
      <c r="M16" s="377"/>
      <c r="N16" s="377"/>
      <c r="P16" s="30"/>
      <c r="Q16" s="31">
        <f t="shared" si="2"/>
        <v>0</v>
      </c>
    </row>
    <row r="17" spans="1:18" x14ac:dyDescent="0.2">
      <c r="A17" s="25" t="s">
        <v>97</v>
      </c>
      <c r="B17" s="73" t="s">
        <v>569</v>
      </c>
      <c r="C17" s="376">
        <v>1142.5899999999999</v>
      </c>
      <c r="D17" s="27">
        <v>1165.4417999999998</v>
      </c>
      <c r="E17" s="27">
        <v>1180.01</v>
      </c>
      <c r="F17" s="27">
        <v>1200</v>
      </c>
      <c r="G17" s="27">
        <v>1200</v>
      </c>
      <c r="H17" s="7">
        <v>1200</v>
      </c>
      <c r="I17" s="27">
        <v>1200</v>
      </c>
      <c r="J17" s="7">
        <v>1200</v>
      </c>
      <c r="K17" s="7">
        <v>1200</v>
      </c>
      <c r="L17" s="376">
        <f t="shared" ref="L17:L24" si="3">IF($S$3=1,J17-I17,K17-I17)</f>
        <v>0</v>
      </c>
      <c r="M17" s="377">
        <f t="shared" ref="M17:M25" si="4">(IF($S$3=1,J17/I17-1,K17/I17-1))</f>
        <v>0</v>
      </c>
      <c r="N17" s="377"/>
      <c r="P17" s="30"/>
      <c r="Q17" s="31">
        <f t="shared" si="2"/>
        <v>0</v>
      </c>
    </row>
    <row r="18" spans="1:18" x14ac:dyDescent="0.2">
      <c r="A18" s="25" t="s">
        <v>101</v>
      </c>
      <c r="B18" s="26" t="s">
        <v>102</v>
      </c>
      <c r="C18" s="376">
        <v>28654.080000000002</v>
      </c>
      <c r="D18" s="27">
        <v>29227.161600000003</v>
      </c>
      <c r="E18" s="27">
        <v>29592.5</v>
      </c>
      <c r="F18" s="27">
        <v>29962.41</v>
      </c>
      <c r="G18" s="27">
        <v>28560</v>
      </c>
      <c r="H18" s="7">
        <v>29059.8</v>
      </c>
      <c r="I18" s="27">
        <v>29458</v>
      </c>
      <c r="J18" s="7">
        <v>39005</v>
      </c>
      <c r="K18" s="7">
        <v>39005</v>
      </c>
      <c r="L18" s="376">
        <f t="shared" si="3"/>
        <v>9547</v>
      </c>
      <c r="M18" s="377">
        <f t="shared" si="4"/>
        <v>0.32408853282639694</v>
      </c>
      <c r="N18" s="377"/>
      <c r="P18" s="30" t="s">
        <v>209</v>
      </c>
      <c r="Q18" s="31">
        <f t="shared" si="2"/>
        <v>581.20000000000005</v>
      </c>
    </row>
    <row r="19" spans="1:18" x14ac:dyDescent="0.2">
      <c r="A19" s="25" t="s">
        <v>212</v>
      </c>
      <c r="B19" s="26" t="s">
        <v>213</v>
      </c>
      <c r="C19" s="376">
        <v>15000</v>
      </c>
      <c r="D19" s="27">
        <v>15000</v>
      </c>
      <c r="E19" s="27">
        <v>13000</v>
      </c>
      <c r="F19" s="27">
        <v>13000</v>
      </c>
      <c r="G19" s="27">
        <v>13000</v>
      </c>
      <c r="H19" s="7">
        <v>13000</v>
      </c>
      <c r="I19" s="27">
        <v>13000</v>
      </c>
      <c r="J19" s="7">
        <v>13650</v>
      </c>
      <c r="K19" s="7">
        <v>10453</v>
      </c>
      <c r="L19" s="376">
        <f t="shared" si="3"/>
        <v>-2547</v>
      </c>
      <c r="M19" s="377">
        <f t="shared" si="4"/>
        <v>-0.19592307692307698</v>
      </c>
      <c r="N19" s="377"/>
      <c r="P19" s="30"/>
      <c r="Q19" s="31">
        <f t="shared" si="2"/>
        <v>0</v>
      </c>
    </row>
    <row r="20" spans="1:18" x14ac:dyDescent="0.2">
      <c r="A20" s="32" t="s">
        <v>99</v>
      </c>
      <c r="B20" s="37" t="s">
        <v>100</v>
      </c>
      <c r="C20" s="388">
        <v>1500</v>
      </c>
      <c r="D20" s="34">
        <v>1500</v>
      </c>
      <c r="E20" s="34">
        <v>1500</v>
      </c>
      <c r="F20" s="34">
        <v>1500</v>
      </c>
      <c r="G20" s="34">
        <v>1500</v>
      </c>
      <c r="H20" s="100">
        <v>1500</v>
      </c>
      <c r="I20" s="34">
        <v>1500</v>
      </c>
      <c r="J20" s="100">
        <v>1575</v>
      </c>
      <c r="K20" s="100">
        <v>1500</v>
      </c>
      <c r="L20" s="376">
        <f t="shared" si="3"/>
        <v>0</v>
      </c>
      <c r="M20" s="377">
        <f t="shared" si="4"/>
        <v>0</v>
      </c>
      <c r="N20" s="377"/>
      <c r="P20" s="30"/>
      <c r="Q20" s="31">
        <f t="shared" si="2"/>
        <v>0</v>
      </c>
    </row>
    <row r="21" spans="1:18" x14ac:dyDescent="0.2">
      <c r="A21" s="25" t="s">
        <v>643</v>
      </c>
      <c r="B21" s="26" t="s">
        <v>530</v>
      </c>
      <c r="C21" s="376">
        <v>0</v>
      </c>
      <c r="D21" s="27">
        <v>0</v>
      </c>
      <c r="E21" s="27">
        <v>0</v>
      </c>
      <c r="F21" s="27">
        <v>5300</v>
      </c>
      <c r="G21" s="27">
        <v>5300</v>
      </c>
      <c r="H21" s="7">
        <v>5300</v>
      </c>
      <c r="I21" s="27">
        <v>11475</v>
      </c>
      <c r="J21" s="6">
        <v>17850</v>
      </c>
      <c r="K21" s="6">
        <v>17850</v>
      </c>
      <c r="L21" s="376">
        <f t="shared" si="3"/>
        <v>6375</v>
      </c>
      <c r="M21" s="377">
        <f t="shared" si="4"/>
        <v>0.55555555555555558</v>
      </c>
      <c r="N21" s="377"/>
      <c r="P21" s="30"/>
      <c r="Q21" s="31">
        <f t="shared" si="2"/>
        <v>0</v>
      </c>
    </row>
    <row r="22" spans="1:18" s="326" customFormat="1" x14ac:dyDescent="0.2">
      <c r="A22" s="25" t="s">
        <v>644</v>
      </c>
      <c r="B22" s="26" t="s">
        <v>524</v>
      </c>
      <c r="C22" s="376">
        <v>0</v>
      </c>
      <c r="D22" s="27">
        <v>0</v>
      </c>
      <c r="E22" s="27">
        <v>0</v>
      </c>
      <c r="F22" s="27">
        <v>2400</v>
      </c>
      <c r="G22" s="27">
        <v>2400</v>
      </c>
      <c r="H22" s="7">
        <v>2400</v>
      </c>
      <c r="I22" s="27">
        <v>2400</v>
      </c>
      <c r="J22" s="7">
        <v>2520</v>
      </c>
      <c r="K22" s="7">
        <v>2400</v>
      </c>
      <c r="L22" s="376">
        <f t="shared" si="3"/>
        <v>0</v>
      </c>
      <c r="M22" s="377">
        <f t="shared" si="4"/>
        <v>0</v>
      </c>
      <c r="N22" s="377"/>
      <c r="P22" s="30"/>
      <c r="Q22" s="31">
        <f t="shared" si="2"/>
        <v>0</v>
      </c>
      <c r="R22" s="4"/>
    </row>
    <row r="23" spans="1:18" s="326" customFormat="1" x14ac:dyDescent="0.2">
      <c r="A23" s="25" t="s">
        <v>649</v>
      </c>
      <c r="B23" s="26" t="s">
        <v>142</v>
      </c>
      <c r="C23" s="376">
        <v>0</v>
      </c>
      <c r="D23" s="27">
        <v>0</v>
      </c>
      <c r="E23" s="27">
        <v>0</v>
      </c>
      <c r="F23" s="27"/>
      <c r="G23" s="27">
        <v>800</v>
      </c>
      <c r="H23" s="7">
        <v>800</v>
      </c>
      <c r="I23" s="27">
        <v>800</v>
      </c>
      <c r="J23" s="7">
        <v>840</v>
      </c>
      <c r="K23" s="7">
        <v>800</v>
      </c>
      <c r="L23" s="376">
        <f t="shared" ref="L23" si="5">IF($S$3=1,J23-I23,K23-I23)</f>
        <v>0</v>
      </c>
      <c r="M23" s="377">
        <f t="shared" ref="M23" si="6">(IF($S$3=1,J23/I23-1,K23/I23-1))</f>
        <v>0</v>
      </c>
      <c r="N23" s="378"/>
      <c r="P23" s="30"/>
      <c r="Q23" s="31">
        <f t="shared" ref="Q23" si="7">ROUND(IF(P23="Y",H23*$S$1,0),2)</f>
        <v>0</v>
      </c>
      <c r="R23" s="4"/>
    </row>
    <row r="24" spans="1:18" x14ac:dyDescent="0.2">
      <c r="A24" s="25"/>
      <c r="B24" s="26" t="s">
        <v>897</v>
      </c>
      <c r="C24" s="376">
        <v>0</v>
      </c>
      <c r="D24" s="27">
        <v>0</v>
      </c>
      <c r="E24" s="27">
        <v>0</v>
      </c>
      <c r="F24" s="27"/>
      <c r="G24" s="27"/>
      <c r="H24" s="7"/>
      <c r="I24" s="27"/>
      <c r="J24" s="7">
        <v>10000</v>
      </c>
      <c r="K24" s="7">
        <v>10000</v>
      </c>
      <c r="L24" s="376">
        <f t="shared" si="3"/>
        <v>10000</v>
      </c>
      <c r="M24" s="377"/>
      <c r="N24" s="378"/>
      <c r="O24" s="326"/>
      <c r="P24" s="30"/>
      <c r="Q24" s="31">
        <f t="shared" si="2"/>
        <v>0</v>
      </c>
      <c r="R24" s="326"/>
    </row>
    <row r="25" spans="1:18" ht="15" x14ac:dyDescent="0.25">
      <c r="A25" s="1"/>
      <c r="B25" s="1" t="s">
        <v>103</v>
      </c>
      <c r="C25" s="380">
        <v>46796.67</v>
      </c>
      <c r="D25" s="394">
        <v>46892.603400000007</v>
      </c>
      <c r="E25" s="39">
        <v>45272.509999999995</v>
      </c>
      <c r="F25" s="39">
        <v>53362.41</v>
      </c>
      <c r="G25" s="39">
        <v>52760</v>
      </c>
      <c r="H25" s="101">
        <v>53259.8</v>
      </c>
      <c r="I25" s="39">
        <v>59833</v>
      </c>
      <c r="J25" s="101">
        <f>SUM(J17:J24)</f>
        <v>86640</v>
      </c>
      <c r="K25" s="101">
        <f>SUM(K17:K24)</f>
        <v>83208</v>
      </c>
      <c r="L25" s="382">
        <f>IF($S$3=1,J25-I25,K25-I25)</f>
        <v>23375</v>
      </c>
      <c r="M25" s="377">
        <f t="shared" si="4"/>
        <v>0.3906707001153209</v>
      </c>
      <c r="N25" s="377"/>
      <c r="P25" s="30"/>
      <c r="Q25" s="31">
        <f t="shared" si="2"/>
        <v>0</v>
      </c>
    </row>
    <row r="26" spans="1:18" ht="15" x14ac:dyDescent="0.25">
      <c r="A26" s="477" t="s">
        <v>251</v>
      </c>
      <c r="B26" s="478"/>
      <c r="C26" s="479"/>
      <c r="D26" s="480"/>
      <c r="E26" s="481"/>
      <c r="F26" s="481"/>
      <c r="G26" s="481"/>
      <c r="H26" s="481"/>
      <c r="I26" s="481"/>
      <c r="J26" s="481"/>
      <c r="K26" s="481"/>
      <c r="L26" s="481"/>
      <c r="M26" s="383"/>
      <c r="N26" s="377"/>
      <c r="P26" s="30"/>
      <c r="Q26" s="31">
        <f t="shared" si="2"/>
        <v>0</v>
      </c>
    </row>
    <row r="27" spans="1:18" x14ac:dyDescent="0.2">
      <c r="A27" s="51" t="s">
        <v>30</v>
      </c>
      <c r="B27" s="52" t="s">
        <v>31</v>
      </c>
      <c r="C27" s="376">
        <v>16129.62</v>
      </c>
      <c r="D27" s="27">
        <v>16452.2124</v>
      </c>
      <c r="E27" s="27">
        <v>16657.87</v>
      </c>
      <c r="F27" s="27">
        <v>17657.87</v>
      </c>
      <c r="G27" s="27">
        <v>18011.03</v>
      </c>
      <c r="H27" s="7">
        <v>18326.22</v>
      </c>
      <c r="I27" s="27">
        <v>18876.009999999998</v>
      </c>
      <c r="J27" s="7">
        <v>19442</v>
      </c>
      <c r="K27" s="7">
        <f>I27*1.02</f>
        <v>19253.530199999997</v>
      </c>
      <c r="L27" s="376">
        <f t="shared" ref="L27:L32" si="8">IF($S$3=1,J27-I27,K27-I27)</f>
        <v>377.52019999999902</v>
      </c>
      <c r="M27" s="377">
        <f t="shared" ref="M27:M32" si="9">(IF($S$3=1,J27/I27-1,K27/I27-1))</f>
        <v>2.0000000000000018E-2</v>
      </c>
      <c r="N27" s="377"/>
      <c r="P27" s="30" t="s">
        <v>209</v>
      </c>
      <c r="Q27" s="31">
        <f t="shared" si="2"/>
        <v>366.52</v>
      </c>
    </row>
    <row r="28" spans="1:18" x14ac:dyDescent="0.2">
      <c r="A28" s="51" t="s">
        <v>32</v>
      </c>
      <c r="B28" s="52" t="s">
        <v>814</v>
      </c>
      <c r="C28" s="376">
        <v>5627.97</v>
      </c>
      <c r="D28" s="27">
        <v>5488.0794000000005</v>
      </c>
      <c r="E28" s="27">
        <v>5556.68</v>
      </c>
      <c r="F28" s="27">
        <v>5626.14</v>
      </c>
      <c r="G28" s="27">
        <v>5738.66</v>
      </c>
      <c r="H28" s="7">
        <v>5839.09</v>
      </c>
      <c r="I28" s="27">
        <v>6014.26</v>
      </c>
      <c r="J28" s="7">
        <v>6194</v>
      </c>
      <c r="K28" s="7">
        <f>I28*1.02</f>
        <v>6134.5452000000005</v>
      </c>
      <c r="L28" s="376">
        <f t="shared" si="8"/>
        <v>120.28520000000026</v>
      </c>
      <c r="M28" s="377">
        <f t="shared" si="9"/>
        <v>2.0000000000000018E-2</v>
      </c>
      <c r="N28" s="377"/>
      <c r="P28" s="30" t="s">
        <v>209</v>
      </c>
      <c r="Q28" s="31">
        <f t="shared" si="2"/>
        <v>116.78</v>
      </c>
    </row>
    <row r="29" spans="1:18" x14ac:dyDescent="0.2">
      <c r="A29" s="51" t="s">
        <v>36</v>
      </c>
      <c r="B29" s="52" t="s">
        <v>37</v>
      </c>
      <c r="C29" s="376">
        <v>8000</v>
      </c>
      <c r="D29" s="27">
        <v>8500</v>
      </c>
      <c r="E29" s="27">
        <v>7500</v>
      </c>
      <c r="F29" s="27">
        <v>7500</v>
      </c>
      <c r="G29" s="27">
        <v>6000</v>
      </c>
      <c r="H29" s="7">
        <v>8200</v>
      </c>
      <c r="I29" s="27">
        <v>4000</v>
      </c>
      <c r="J29" s="7">
        <v>7800</v>
      </c>
      <c r="K29" s="7">
        <v>7800</v>
      </c>
      <c r="L29" s="376">
        <f t="shared" si="8"/>
        <v>3800</v>
      </c>
      <c r="M29" s="377">
        <f t="shared" si="9"/>
        <v>0.95</v>
      </c>
      <c r="N29" s="377"/>
      <c r="P29" s="30"/>
      <c r="Q29" s="31">
        <f t="shared" si="2"/>
        <v>0</v>
      </c>
    </row>
    <row r="30" spans="1:18" x14ac:dyDescent="0.2">
      <c r="A30" s="51" t="s">
        <v>34</v>
      </c>
      <c r="B30" s="52" t="s">
        <v>35</v>
      </c>
      <c r="C30" s="376">
        <v>4252.5</v>
      </c>
      <c r="D30" s="27">
        <v>4500</v>
      </c>
      <c r="E30" s="27">
        <v>4500</v>
      </c>
      <c r="F30" s="27">
        <v>4500</v>
      </c>
      <c r="G30" s="27">
        <v>4500</v>
      </c>
      <c r="H30" s="7">
        <v>4500</v>
      </c>
      <c r="I30" s="27">
        <v>7500</v>
      </c>
      <c r="J30" s="7">
        <v>4600</v>
      </c>
      <c r="K30" s="7">
        <v>4600</v>
      </c>
      <c r="L30" s="376">
        <f t="shared" si="8"/>
        <v>-2900</v>
      </c>
      <c r="M30" s="377">
        <f t="shared" si="9"/>
        <v>-0.38666666666666671</v>
      </c>
      <c r="N30" s="377"/>
      <c r="P30" s="30"/>
      <c r="Q30" s="31">
        <f t="shared" si="2"/>
        <v>0</v>
      </c>
    </row>
    <row r="31" spans="1:18" x14ac:dyDescent="0.2">
      <c r="A31" s="51"/>
      <c r="B31" s="52" t="s">
        <v>845</v>
      </c>
      <c r="C31" s="376">
        <v>4252.5</v>
      </c>
      <c r="D31" s="27">
        <v>4500</v>
      </c>
      <c r="E31" s="27">
        <v>4500</v>
      </c>
      <c r="F31" s="27">
        <v>4500</v>
      </c>
      <c r="G31" s="27"/>
      <c r="H31" s="7"/>
      <c r="I31" s="27">
        <v>1000</v>
      </c>
      <c r="J31" s="7">
        <v>1000</v>
      </c>
      <c r="K31" s="7">
        <v>1000</v>
      </c>
      <c r="L31" s="376">
        <f t="shared" si="8"/>
        <v>0</v>
      </c>
      <c r="M31" s="377">
        <f t="shared" si="9"/>
        <v>0</v>
      </c>
      <c r="N31" s="377"/>
      <c r="P31" s="30"/>
      <c r="Q31" s="31">
        <f t="shared" si="2"/>
        <v>0</v>
      </c>
    </row>
    <row r="32" spans="1:18" ht="15" x14ac:dyDescent="0.25">
      <c r="A32" s="38"/>
      <c r="B32" s="43" t="s">
        <v>103</v>
      </c>
      <c r="C32" s="380">
        <v>34010.089999999997</v>
      </c>
      <c r="D32" s="394">
        <v>34940.291799999999</v>
      </c>
      <c r="E32" s="39">
        <v>34214.550000000003</v>
      </c>
      <c r="F32" s="39">
        <v>35284.009999999995</v>
      </c>
      <c r="G32" s="39">
        <v>34249.69</v>
      </c>
      <c r="H32" s="101">
        <v>36865.31</v>
      </c>
      <c r="I32" s="39">
        <v>37390.269999999997</v>
      </c>
      <c r="J32" s="101">
        <f>SUM(J27:J31)</f>
        <v>39036</v>
      </c>
      <c r="K32" s="101">
        <f>SUM(K27:K31)</f>
        <v>38788.075400000002</v>
      </c>
      <c r="L32" s="382">
        <f t="shared" si="8"/>
        <v>1397.8054000000047</v>
      </c>
      <c r="M32" s="377">
        <f t="shared" si="9"/>
        <v>3.7384201825769292E-2</v>
      </c>
      <c r="N32" s="377"/>
      <c r="P32" s="30"/>
      <c r="Q32" s="31">
        <f t="shared" si="2"/>
        <v>0</v>
      </c>
    </row>
    <row r="33" spans="1:17" ht="15" x14ac:dyDescent="0.25">
      <c r="A33" s="477" t="s">
        <v>286</v>
      </c>
      <c r="B33" s="482"/>
      <c r="C33" s="479"/>
      <c r="D33" s="480"/>
      <c r="E33" s="481"/>
      <c r="F33" s="481"/>
      <c r="G33" s="481"/>
      <c r="H33" s="481"/>
      <c r="I33" s="481"/>
      <c r="J33" s="481"/>
      <c r="K33" s="481"/>
      <c r="L33" s="481"/>
      <c r="M33" s="383"/>
      <c r="N33" s="377"/>
      <c r="P33" s="30"/>
      <c r="Q33" s="31">
        <f t="shared" si="2"/>
        <v>0</v>
      </c>
    </row>
    <row r="34" spans="1:17" x14ac:dyDescent="0.2">
      <c r="A34" s="51" t="s">
        <v>229</v>
      </c>
      <c r="B34" s="52" t="s">
        <v>230</v>
      </c>
      <c r="C34" s="376">
        <v>200</v>
      </c>
      <c r="D34" s="27">
        <v>200</v>
      </c>
      <c r="E34" s="27">
        <v>200</v>
      </c>
      <c r="F34" s="27">
        <v>200</v>
      </c>
      <c r="G34" s="27">
        <v>200</v>
      </c>
      <c r="H34" s="7">
        <v>300</v>
      </c>
      <c r="I34" s="27">
        <v>300</v>
      </c>
      <c r="J34" s="7">
        <v>300</v>
      </c>
      <c r="K34" s="7">
        <v>300</v>
      </c>
      <c r="L34" s="376">
        <f>IF($S$3=1,J34-I34,K34-I34)</f>
        <v>0</v>
      </c>
      <c r="M34" s="377">
        <f>(IF($S$3=1,J34/I34-1,K34/I34-1))</f>
        <v>0</v>
      </c>
      <c r="N34" s="377"/>
      <c r="P34" s="30"/>
      <c r="Q34" s="31">
        <f t="shared" si="2"/>
        <v>0</v>
      </c>
    </row>
    <row r="35" spans="1:17" x14ac:dyDescent="0.2">
      <c r="A35" s="51" t="s">
        <v>231</v>
      </c>
      <c r="B35" s="52" t="s">
        <v>232</v>
      </c>
      <c r="C35" s="376">
        <v>32000</v>
      </c>
      <c r="D35" s="27">
        <v>34468.79</v>
      </c>
      <c r="E35" s="27">
        <v>34468.79</v>
      </c>
      <c r="F35" s="27">
        <v>34468.79</v>
      </c>
      <c r="G35" s="27">
        <v>34468.79</v>
      </c>
      <c r="H35" s="7">
        <v>34500</v>
      </c>
      <c r="I35" s="27">
        <v>34500</v>
      </c>
      <c r="J35" s="7">
        <v>35500</v>
      </c>
      <c r="K35" s="7">
        <v>40500</v>
      </c>
      <c r="L35" s="376">
        <f>IF($S$3=1,J35-I35,K35-I35)</f>
        <v>6000</v>
      </c>
      <c r="M35" s="377">
        <f>(IF($S$3=1,J35/I35-1,K35/I35-1))</f>
        <v>0.17391304347826098</v>
      </c>
      <c r="N35" s="377"/>
      <c r="P35" s="30"/>
      <c r="Q35" s="31">
        <f t="shared" si="2"/>
        <v>0</v>
      </c>
    </row>
    <row r="36" spans="1:17" ht="15" x14ac:dyDescent="0.25">
      <c r="A36" s="38"/>
      <c r="B36" s="1" t="s">
        <v>103</v>
      </c>
      <c r="C36" s="380">
        <v>32200</v>
      </c>
      <c r="D36" s="394">
        <v>34668.79</v>
      </c>
      <c r="E36" s="39">
        <v>34668.79</v>
      </c>
      <c r="F36" s="39">
        <v>34668.79</v>
      </c>
      <c r="G36" s="39">
        <v>34668.79</v>
      </c>
      <c r="H36" s="101">
        <v>34800</v>
      </c>
      <c r="I36" s="39">
        <v>34800</v>
      </c>
      <c r="J36" s="101">
        <f>SUM(J34:J35)</f>
        <v>35800</v>
      </c>
      <c r="K36" s="101">
        <f>SUM(K34:K35)</f>
        <v>40800</v>
      </c>
      <c r="L36" s="382">
        <f>IF($S$3=1,J36-I36,K36-I36)</f>
        <v>6000</v>
      </c>
      <c r="M36" s="377">
        <f>(IF($S$3=1,J36/I36-1,K36/I36-1))</f>
        <v>0.17241379310344818</v>
      </c>
      <c r="N36" s="377"/>
      <c r="P36" s="30"/>
      <c r="Q36" s="31">
        <f t="shared" si="2"/>
        <v>0</v>
      </c>
    </row>
    <row r="37" spans="1:17" ht="15" x14ac:dyDescent="0.25">
      <c r="A37" s="477" t="s">
        <v>287</v>
      </c>
      <c r="B37" s="482"/>
      <c r="C37" s="479"/>
      <c r="D37" s="480"/>
      <c r="E37" s="481"/>
      <c r="F37" s="481"/>
      <c r="G37" s="481"/>
      <c r="H37" s="481"/>
      <c r="I37" s="481"/>
      <c r="J37" s="481"/>
      <c r="K37" s="481"/>
      <c r="L37" s="481"/>
      <c r="M37" s="383"/>
      <c r="N37" s="377"/>
      <c r="P37" s="30"/>
      <c r="Q37" s="31">
        <f t="shared" si="2"/>
        <v>0</v>
      </c>
    </row>
    <row r="38" spans="1:17" x14ac:dyDescent="0.2">
      <c r="A38" s="25" t="s">
        <v>233</v>
      </c>
      <c r="B38" s="52" t="s">
        <v>234</v>
      </c>
      <c r="C38" s="376">
        <v>17316.830000000002</v>
      </c>
      <c r="D38" s="27">
        <v>17663.1666</v>
      </c>
      <c r="E38" s="27">
        <v>17883.96</v>
      </c>
      <c r="F38" s="27">
        <v>18107.509999999998</v>
      </c>
      <c r="G38" s="27">
        <v>18469.66</v>
      </c>
      <c r="H38" s="7">
        <v>18792.88</v>
      </c>
      <c r="I38" s="27">
        <v>19356.669999999998</v>
      </c>
      <c r="J38" s="7">
        <v>19356.669999999998</v>
      </c>
      <c r="K38" s="7">
        <f>I38*1.02</f>
        <v>19743.803399999997</v>
      </c>
      <c r="L38" s="376">
        <f t="shared" ref="L38:L43" si="10">IF($S$3=1,J38-I38,K38-I38)</f>
        <v>387.1333999999988</v>
      </c>
      <c r="M38" s="377">
        <f t="shared" ref="M38:M43" si="11">(IF($S$3=1,J38/I38-1,K38/I38-1))</f>
        <v>2.0000000000000018E-2</v>
      </c>
      <c r="N38" s="377"/>
      <c r="P38" s="30" t="s">
        <v>209</v>
      </c>
      <c r="Q38" s="31">
        <f t="shared" si="2"/>
        <v>375.86</v>
      </c>
    </row>
    <row r="39" spans="1:17" x14ac:dyDescent="0.2">
      <c r="A39" s="51" t="s">
        <v>235</v>
      </c>
      <c r="B39" s="52" t="s">
        <v>815</v>
      </c>
      <c r="C39" s="376">
        <v>100</v>
      </c>
      <c r="D39" s="27">
        <v>1020</v>
      </c>
      <c r="E39" s="27">
        <v>1032.75</v>
      </c>
      <c r="F39" s="27">
        <v>1045.6600000000001</v>
      </c>
      <c r="G39" s="27">
        <v>1066.57</v>
      </c>
      <c r="H39" s="7">
        <v>1085.23</v>
      </c>
      <c r="I39" s="27">
        <v>1117.79</v>
      </c>
      <c r="J39" s="7">
        <v>7950</v>
      </c>
      <c r="K39" s="7">
        <v>7950</v>
      </c>
      <c r="L39" s="376">
        <f t="shared" si="10"/>
        <v>6832.21</v>
      </c>
      <c r="M39" s="377">
        <f t="shared" si="11"/>
        <v>6.1122482756152765</v>
      </c>
      <c r="N39" s="377"/>
      <c r="P39" s="30" t="s">
        <v>209</v>
      </c>
      <c r="Q39" s="31">
        <f t="shared" si="2"/>
        <v>21.7</v>
      </c>
    </row>
    <row r="40" spans="1:17" x14ac:dyDescent="0.2">
      <c r="A40" s="25" t="s">
        <v>236</v>
      </c>
      <c r="B40" s="26" t="s">
        <v>237</v>
      </c>
      <c r="C40" s="376">
        <v>1350</v>
      </c>
      <c r="D40" s="27">
        <v>1350</v>
      </c>
      <c r="E40" s="27">
        <v>1350</v>
      </c>
      <c r="F40" s="27">
        <v>1350</v>
      </c>
      <c r="G40" s="27">
        <v>1350</v>
      </c>
      <c r="H40" s="7">
        <v>1350</v>
      </c>
      <c r="I40" s="27">
        <v>1350</v>
      </c>
      <c r="J40" s="7">
        <v>1350</v>
      </c>
      <c r="K40" s="7">
        <v>1350</v>
      </c>
      <c r="L40" s="376">
        <f t="shared" si="10"/>
        <v>0</v>
      </c>
      <c r="M40" s="377">
        <f t="shared" si="11"/>
        <v>0</v>
      </c>
      <c r="N40" s="377"/>
      <c r="P40" s="30"/>
      <c r="Q40" s="31">
        <f t="shared" si="2"/>
        <v>0</v>
      </c>
    </row>
    <row r="41" spans="1:17" x14ac:dyDescent="0.2">
      <c r="A41" s="25"/>
      <c r="B41" s="52" t="s">
        <v>859</v>
      </c>
      <c r="C41" s="376"/>
      <c r="D41" s="27"/>
      <c r="E41" s="27"/>
      <c r="F41" s="27"/>
      <c r="G41" s="27"/>
      <c r="H41" s="7"/>
      <c r="I41" s="27">
        <v>1000</v>
      </c>
      <c r="J41" s="7">
        <v>1000</v>
      </c>
      <c r="K41" s="7">
        <v>1000</v>
      </c>
      <c r="L41" s="376">
        <f t="shared" si="10"/>
        <v>0</v>
      </c>
      <c r="M41" s="377">
        <f t="shared" si="11"/>
        <v>0</v>
      </c>
      <c r="N41" s="377"/>
      <c r="P41" s="30"/>
      <c r="Q41" s="31">
        <f t="shared" si="2"/>
        <v>0</v>
      </c>
    </row>
    <row r="42" spans="1:17" x14ac:dyDescent="0.2">
      <c r="A42" s="25" t="s">
        <v>240</v>
      </c>
      <c r="B42" s="26" t="s">
        <v>1</v>
      </c>
      <c r="C42" s="376">
        <v>8020</v>
      </c>
      <c r="D42" s="27">
        <v>8161.08</v>
      </c>
      <c r="E42" s="27">
        <v>8161.08</v>
      </c>
      <c r="F42" s="27">
        <v>8758.5</v>
      </c>
      <c r="G42" s="27">
        <v>8950</v>
      </c>
      <c r="H42" s="7">
        <v>8950</v>
      </c>
      <c r="I42" s="27">
        <v>8950</v>
      </c>
      <c r="J42" s="7">
        <v>9750</v>
      </c>
      <c r="K42" s="7">
        <v>9750</v>
      </c>
      <c r="L42" s="376">
        <f t="shared" si="10"/>
        <v>800</v>
      </c>
      <c r="M42" s="377">
        <f t="shared" si="11"/>
        <v>8.9385474860335101E-2</v>
      </c>
      <c r="N42" s="377"/>
      <c r="P42" s="30"/>
      <c r="Q42" s="31">
        <f t="shared" si="2"/>
        <v>0</v>
      </c>
    </row>
    <row r="43" spans="1:17" ht="15" x14ac:dyDescent="0.25">
      <c r="A43" s="38"/>
      <c r="B43" s="389" t="s">
        <v>103</v>
      </c>
      <c r="C43" s="380">
        <v>30286.83</v>
      </c>
      <c r="D43" s="394">
        <v>28194.246599999999</v>
      </c>
      <c r="E43" s="39">
        <v>28427.79</v>
      </c>
      <c r="F43" s="39">
        <v>29261.67</v>
      </c>
      <c r="G43" s="39">
        <v>29836.23</v>
      </c>
      <c r="H43" s="101">
        <v>30178.11</v>
      </c>
      <c r="I43" s="39">
        <v>31774.46</v>
      </c>
      <c r="J43" s="101">
        <f>SUM(J38:J42)</f>
        <v>39406.67</v>
      </c>
      <c r="K43" s="101">
        <f>SUM(K38:K42)</f>
        <v>39793.803399999997</v>
      </c>
      <c r="L43" s="382">
        <f t="shared" si="10"/>
        <v>8019.3433999999979</v>
      </c>
      <c r="M43" s="377">
        <f t="shared" si="11"/>
        <v>0.25238331036939732</v>
      </c>
      <c r="N43" s="377"/>
      <c r="P43" s="30"/>
      <c r="Q43" s="31">
        <f t="shared" si="2"/>
        <v>0</v>
      </c>
    </row>
    <row r="44" spans="1:17" ht="15" x14ac:dyDescent="0.25">
      <c r="A44" s="477" t="s">
        <v>288</v>
      </c>
      <c r="B44" s="482"/>
      <c r="C44" s="479"/>
      <c r="D44" s="480"/>
      <c r="E44" s="481"/>
      <c r="F44" s="481"/>
      <c r="G44" s="481"/>
      <c r="H44" s="481"/>
      <c r="I44" s="481"/>
      <c r="J44" s="481"/>
      <c r="K44" s="481"/>
      <c r="L44" s="481"/>
      <c r="M44" s="383"/>
      <c r="N44" s="377"/>
      <c r="P44" s="30"/>
      <c r="Q44" s="31">
        <f t="shared" si="2"/>
        <v>0</v>
      </c>
    </row>
    <row r="45" spans="1:17" x14ac:dyDescent="0.2">
      <c r="A45" s="25" t="s">
        <v>241</v>
      </c>
      <c r="B45" s="26" t="s">
        <v>242</v>
      </c>
      <c r="C45" s="376">
        <v>7534.08</v>
      </c>
      <c r="D45" s="27">
        <v>7684.7615999999998</v>
      </c>
      <c r="E45" s="27">
        <v>7780.82</v>
      </c>
      <c r="F45" s="27">
        <v>7878.08</v>
      </c>
      <c r="G45" s="27">
        <v>8035.64</v>
      </c>
      <c r="H45" s="7">
        <v>8176.26</v>
      </c>
      <c r="I45" s="27">
        <v>8421.5499999999993</v>
      </c>
      <c r="J45" s="7">
        <v>8842</v>
      </c>
      <c r="K45" s="7">
        <f>I45*1.02</f>
        <v>8589.9809999999998</v>
      </c>
      <c r="L45" s="376">
        <f t="shared" ref="L45:L50" si="12">IF($S$3=1,J45-I45,K45-I45)</f>
        <v>168.43100000000049</v>
      </c>
      <c r="M45" s="377">
        <f t="shared" ref="M45:M50" si="13">(IF($S$3=1,J45/I45-1,K45/I45-1))</f>
        <v>2.0000000000000018E-2</v>
      </c>
      <c r="N45" s="377"/>
      <c r="P45" s="30" t="s">
        <v>209</v>
      </c>
      <c r="Q45" s="31">
        <f t="shared" si="2"/>
        <v>163.53</v>
      </c>
    </row>
    <row r="46" spans="1:17" x14ac:dyDescent="0.2">
      <c r="A46" s="25" t="s">
        <v>243</v>
      </c>
      <c r="B46" s="26" t="s">
        <v>244</v>
      </c>
      <c r="C46" s="376">
        <v>7534.08</v>
      </c>
      <c r="D46" s="27">
        <v>7684.7615999999998</v>
      </c>
      <c r="E46" s="27">
        <v>7780.82</v>
      </c>
      <c r="F46" s="27">
        <v>7878.08</v>
      </c>
      <c r="G46" s="27">
        <v>8035.64</v>
      </c>
      <c r="H46" s="7">
        <v>8176.26</v>
      </c>
      <c r="I46" s="27">
        <v>8421.5499999999993</v>
      </c>
      <c r="J46" s="7">
        <v>8842</v>
      </c>
      <c r="K46" s="7">
        <f>I46*1.02</f>
        <v>8589.9809999999998</v>
      </c>
      <c r="L46" s="376">
        <f t="shared" si="12"/>
        <v>168.43100000000049</v>
      </c>
      <c r="M46" s="377">
        <f t="shared" si="13"/>
        <v>2.0000000000000018E-2</v>
      </c>
      <c r="N46" s="377"/>
      <c r="P46" s="30" t="s">
        <v>209</v>
      </c>
      <c r="Q46" s="31">
        <f t="shared" si="2"/>
        <v>163.53</v>
      </c>
    </row>
    <row r="47" spans="1:17" x14ac:dyDescent="0.2">
      <c r="A47" s="25" t="s">
        <v>245</v>
      </c>
      <c r="B47" s="26" t="s">
        <v>150</v>
      </c>
      <c r="C47" s="376">
        <v>7534.08</v>
      </c>
      <c r="D47" s="27">
        <v>7684.7615999999998</v>
      </c>
      <c r="E47" s="27">
        <v>7780.82</v>
      </c>
      <c r="F47" s="27">
        <v>7878.08</v>
      </c>
      <c r="G47" s="27">
        <v>8035.64</v>
      </c>
      <c r="H47" s="7">
        <v>8176.26</v>
      </c>
      <c r="I47" s="27">
        <v>8421.5499999999993</v>
      </c>
      <c r="J47" s="7">
        <v>8842</v>
      </c>
      <c r="K47" s="7">
        <f>I47*1.02</f>
        <v>8589.9809999999998</v>
      </c>
      <c r="L47" s="376">
        <f t="shared" si="12"/>
        <v>168.43100000000049</v>
      </c>
      <c r="M47" s="377">
        <f t="shared" si="13"/>
        <v>2.0000000000000018E-2</v>
      </c>
      <c r="N47" s="377"/>
      <c r="P47" s="30" t="s">
        <v>209</v>
      </c>
      <c r="Q47" s="31">
        <f t="shared" si="2"/>
        <v>163.53</v>
      </c>
    </row>
    <row r="48" spans="1:17" x14ac:dyDescent="0.2">
      <c r="A48" s="25" t="s">
        <v>153</v>
      </c>
      <c r="B48" s="26" t="s">
        <v>579</v>
      </c>
      <c r="C48" s="376">
        <v>500</v>
      </c>
      <c r="D48" s="27">
        <v>500</v>
      </c>
      <c r="E48" s="27">
        <v>7000</v>
      </c>
      <c r="F48" s="27">
        <v>500</v>
      </c>
      <c r="G48" s="27">
        <v>4125</v>
      </c>
      <c r="H48" s="7">
        <v>4625</v>
      </c>
      <c r="I48" s="27">
        <v>500</v>
      </c>
      <c r="J48" s="7">
        <v>500</v>
      </c>
      <c r="K48" s="7">
        <v>500</v>
      </c>
      <c r="L48" s="376">
        <f t="shared" si="12"/>
        <v>0</v>
      </c>
      <c r="M48" s="377">
        <f t="shared" si="13"/>
        <v>0</v>
      </c>
      <c r="N48" s="377"/>
      <c r="P48" s="30"/>
      <c r="Q48" s="31">
        <f t="shared" si="2"/>
        <v>0</v>
      </c>
    </row>
    <row r="49" spans="1:17" x14ac:dyDescent="0.2">
      <c r="A49" s="25" t="s">
        <v>151</v>
      </c>
      <c r="B49" s="26" t="s">
        <v>152</v>
      </c>
      <c r="C49" s="376">
        <v>4905</v>
      </c>
      <c r="D49" s="27">
        <v>5105</v>
      </c>
      <c r="E49" s="27">
        <v>5405</v>
      </c>
      <c r="F49" s="27">
        <v>5550</v>
      </c>
      <c r="G49" s="27">
        <v>5550</v>
      </c>
      <c r="H49" s="7">
        <v>8160</v>
      </c>
      <c r="I49" s="27">
        <v>8420</v>
      </c>
      <c r="J49" s="7">
        <v>8125</v>
      </c>
      <c r="K49" s="7">
        <v>8125</v>
      </c>
      <c r="L49" s="376">
        <f t="shared" si="12"/>
        <v>-295</v>
      </c>
      <c r="M49" s="377">
        <f t="shared" si="13"/>
        <v>-3.503562945368166E-2</v>
      </c>
      <c r="N49" s="377"/>
      <c r="P49" s="30"/>
      <c r="Q49" s="31">
        <f t="shared" si="2"/>
        <v>0</v>
      </c>
    </row>
    <row r="50" spans="1:17" ht="15" x14ac:dyDescent="0.25">
      <c r="A50" s="38"/>
      <c r="B50" s="43" t="s">
        <v>103</v>
      </c>
      <c r="C50" s="380">
        <v>28007.239999999998</v>
      </c>
      <c r="D50" s="394">
        <v>28659.284800000001</v>
      </c>
      <c r="E50" s="39">
        <v>35747.46</v>
      </c>
      <c r="F50" s="39">
        <v>29684.239999999998</v>
      </c>
      <c r="G50" s="39">
        <v>33781.919999999998</v>
      </c>
      <c r="H50" s="101">
        <v>37313.78</v>
      </c>
      <c r="I50" s="39">
        <v>34184.649999999994</v>
      </c>
      <c r="J50" s="101">
        <f>SUM(J45:J49)</f>
        <v>35151</v>
      </c>
      <c r="K50" s="101">
        <f>SUM(K45:K49)</f>
        <v>34394.942999999999</v>
      </c>
      <c r="L50" s="382">
        <f t="shared" si="12"/>
        <v>210.29300000000512</v>
      </c>
      <c r="M50" s="377">
        <f t="shared" si="13"/>
        <v>6.1516791893438949E-3</v>
      </c>
      <c r="N50" s="377"/>
      <c r="P50" s="30"/>
      <c r="Q50" s="31">
        <f t="shared" si="2"/>
        <v>0</v>
      </c>
    </row>
    <row r="51" spans="1:17" ht="15" x14ac:dyDescent="0.25">
      <c r="A51" s="477" t="s">
        <v>289</v>
      </c>
      <c r="B51" s="482"/>
      <c r="C51" s="479"/>
      <c r="D51" s="480"/>
      <c r="E51" s="481"/>
      <c r="F51" s="481"/>
      <c r="G51" s="481"/>
      <c r="H51" s="481"/>
      <c r="I51" s="481"/>
      <c r="J51" s="481"/>
      <c r="K51" s="481"/>
      <c r="L51" s="481"/>
      <c r="M51" s="383"/>
      <c r="N51" s="377"/>
      <c r="P51" s="30"/>
      <c r="Q51" s="31">
        <f t="shared" si="2"/>
        <v>0</v>
      </c>
    </row>
    <row r="52" spans="1:17" x14ac:dyDescent="0.2">
      <c r="A52" s="51" t="s">
        <v>157</v>
      </c>
      <c r="B52" s="52" t="s">
        <v>158</v>
      </c>
      <c r="C52" s="376">
        <v>17955.62</v>
      </c>
      <c r="D52" s="27">
        <v>18314.739999999998</v>
      </c>
      <c r="E52" s="27">
        <v>18543.669999999998</v>
      </c>
      <c r="F52" s="27">
        <v>18775.47</v>
      </c>
      <c r="G52" s="27">
        <v>19150.98</v>
      </c>
      <c r="H52" s="7">
        <v>19486.12</v>
      </c>
      <c r="I52" s="27">
        <v>20070.7</v>
      </c>
      <c r="J52" s="7">
        <v>20672.821</v>
      </c>
      <c r="K52" s="7">
        <f>I52*1.02</f>
        <v>20472.114000000001</v>
      </c>
      <c r="L52" s="376">
        <f t="shared" ref="L52:L58" si="14">IF($S$3=1,J52-I52,K52-I52)</f>
        <v>401.41400000000067</v>
      </c>
      <c r="M52" s="377">
        <f t="shared" ref="M52:M58" si="15">(IF($S$3=1,J52/I52-1,K52/I52-1))</f>
        <v>2.0000000000000018E-2</v>
      </c>
      <c r="N52" s="377"/>
      <c r="P52" s="30" t="s">
        <v>209</v>
      </c>
      <c r="Q52" s="31">
        <f t="shared" si="2"/>
        <v>389.72</v>
      </c>
    </row>
    <row r="53" spans="1:17" x14ac:dyDescent="0.2">
      <c r="A53" s="51" t="s">
        <v>159</v>
      </c>
      <c r="B53" s="52" t="s">
        <v>816</v>
      </c>
      <c r="C53" s="376">
        <v>7856.46</v>
      </c>
      <c r="D53" s="27">
        <v>7007.64</v>
      </c>
      <c r="E53" s="27">
        <v>7095.24</v>
      </c>
      <c r="F53" s="27">
        <v>7183.93</v>
      </c>
      <c r="G53" s="27">
        <v>7327.61</v>
      </c>
      <c r="H53" s="7">
        <v>7455.84</v>
      </c>
      <c r="I53" s="27">
        <v>7679.52</v>
      </c>
      <c r="J53" s="7">
        <v>7910</v>
      </c>
      <c r="K53" s="7">
        <f>I53*1.02</f>
        <v>7833.1104000000005</v>
      </c>
      <c r="L53" s="376">
        <f t="shared" si="14"/>
        <v>153.59040000000005</v>
      </c>
      <c r="M53" s="377">
        <f t="shared" si="15"/>
        <v>2.0000000000000018E-2</v>
      </c>
      <c r="N53" s="377"/>
      <c r="P53" s="30" t="s">
        <v>209</v>
      </c>
      <c r="Q53" s="31">
        <f t="shared" si="2"/>
        <v>149.12</v>
      </c>
    </row>
    <row r="54" spans="1:17" x14ac:dyDescent="0.2">
      <c r="A54" s="2" t="s">
        <v>284</v>
      </c>
      <c r="B54" s="52" t="s">
        <v>846</v>
      </c>
      <c r="C54" s="376">
        <v>1000</v>
      </c>
      <c r="D54" s="27">
        <v>1000</v>
      </c>
      <c r="E54" s="27">
        <v>1000</v>
      </c>
      <c r="F54" s="27">
        <v>1000</v>
      </c>
      <c r="G54" s="27">
        <v>1000</v>
      </c>
      <c r="H54" s="7">
        <v>1000</v>
      </c>
      <c r="I54" s="27">
        <v>1000</v>
      </c>
      <c r="J54" s="7">
        <v>1000</v>
      </c>
      <c r="K54" s="7">
        <v>1000</v>
      </c>
      <c r="L54" s="376">
        <f t="shared" si="14"/>
        <v>0</v>
      </c>
      <c r="M54" s="377">
        <f t="shared" si="15"/>
        <v>0</v>
      </c>
      <c r="N54" s="377"/>
      <c r="P54" s="30"/>
      <c r="Q54" s="31">
        <f t="shared" si="2"/>
        <v>0</v>
      </c>
    </row>
    <row r="55" spans="1:17" x14ac:dyDescent="0.2">
      <c r="A55" s="53" t="s">
        <v>162</v>
      </c>
      <c r="B55" s="54" t="s">
        <v>163</v>
      </c>
      <c r="C55" s="388">
        <v>8000</v>
      </c>
      <c r="D55" s="34">
        <v>12000</v>
      </c>
      <c r="E55" s="34">
        <v>12000</v>
      </c>
      <c r="F55" s="34">
        <v>12000</v>
      </c>
      <c r="G55" s="34">
        <v>12000</v>
      </c>
      <c r="H55" s="100">
        <v>12000</v>
      </c>
      <c r="I55" s="34">
        <v>12000</v>
      </c>
      <c r="J55" s="100">
        <v>15000</v>
      </c>
      <c r="K55" s="100">
        <v>15000</v>
      </c>
      <c r="L55" s="376">
        <f t="shared" si="14"/>
        <v>3000</v>
      </c>
      <c r="M55" s="377">
        <f t="shared" si="15"/>
        <v>0.25</v>
      </c>
      <c r="N55" s="377"/>
      <c r="P55" s="30"/>
      <c r="Q55" s="31">
        <f t="shared" si="2"/>
        <v>0</v>
      </c>
    </row>
    <row r="56" spans="1:17" x14ac:dyDescent="0.2">
      <c r="A56" s="51" t="s">
        <v>155</v>
      </c>
      <c r="B56" s="52" t="s">
        <v>156</v>
      </c>
      <c r="C56" s="376">
        <v>700</v>
      </c>
      <c r="D56" s="27">
        <v>700</v>
      </c>
      <c r="E56" s="27">
        <v>700</v>
      </c>
      <c r="F56" s="27">
        <v>700</v>
      </c>
      <c r="G56" s="27">
        <v>700</v>
      </c>
      <c r="H56" s="7">
        <v>700</v>
      </c>
      <c r="I56" s="27">
        <v>0</v>
      </c>
      <c r="J56" s="7"/>
      <c r="K56" s="7"/>
      <c r="L56" s="376">
        <f t="shared" si="14"/>
        <v>0</v>
      </c>
      <c r="M56" s="377"/>
      <c r="N56" s="377"/>
      <c r="P56" s="30"/>
      <c r="Q56" s="31">
        <f t="shared" si="2"/>
        <v>0</v>
      </c>
    </row>
    <row r="57" spans="1:17" x14ac:dyDescent="0.2">
      <c r="A57" s="51" t="s">
        <v>160</v>
      </c>
      <c r="B57" s="52" t="s">
        <v>161</v>
      </c>
      <c r="C57" s="376">
        <v>6615</v>
      </c>
      <c r="D57" s="27">
        <v>6700</v>
      </c>
      <c r="E57" s="27">
        <v>7000</v>
      </c>
      <c r="F57" s="27">
        <v>7000</v>
      </c>
      <c r="G57" s="27">
        <v>7500</v>
      </c>
      <c r="H57" s="7">
        <v>7500</v>
      </c>
      <c r="I57" s="27">
        <v>8300</v>
      </c>
      <c r="J57" s="7">
        <f>8300+499</f>
        <v>8799</v>
      </c>
      <c r="K57" s="7">
        <v>8300</v>
      </c>
      <c r="L57" s="376">
        <f t="shared" si="14"/>
        <v>0</v>
      </c>
      <c r="M57" s="377">
        <f t="shared" si="15"/>
        <v>0</v>
      </c>
      <c r="N57" s="377"/>
      <c r="P57" s="30"/>
      <c r="Q57" s="31">
        <f t="shared" si="2"/>
        <v>0</v>
      </c>
    </row>
    <row r="58" spans="1:17" ht="15" x14ac:dyDescent="0.25">
      <c r="A58" s="38"/>
      <c r="B58" s="43" t="s">
        <v>103</v>
      </c>
      <c r="C58" s="380">
        <v>42127.08</v>
      </c>
      <c r="D58" s="394">
        <v>45722.38</v>
      </c>
      <c r="E58" s="39">
        <v>46338.909999999996</v>
      </c>
      <c r="F58" s="39">
        <v>46659.4</v>
      </c>
      <c r="G58" s="39">
        <v>47678.59</v>
      </c>
      <c r="H58" s="101">
        <v>48141.96</v>
      </c>
      <c r="I58" s="39">
        <v>49050.22</v>
      </c>
      <c r="J58" s="101">
        <f>SUM(J52:J57)</f>
        <v>53381.820999999996</v>
      </c>
      <c r="K58" s="101">
        <f>SUM(K52:K57)</f>
        <v>52605.224400000006</v>
      </c>
      <c r="L58" s="382">
        <f t="shared" si="14"/>
        <v>3555.0044000000053</v>
      </c>
      <c r="M58" s="377">
        <f t="shared" si="15"/>
        <v>7.2476828850105202E-2</v>
      </c>
      <c r="N58" s="377"/>
      <c r="P58" s="30"/>
      <c r="Q58" s="31">
        <f t="shared" si="2"/>
        <v>0</v>
      </c>
    </row>
    <row r="59" spans="1:17" ht="15" x14ac:dyDescent="0.25">
      <c r="A59" s="477" t="s">
        <v>290</v>
      </c>
      <c r="B59" s="482"/>
      <c r="C59" s="479"/>
      <c r="D59" s="480"/>
      <c r="E59" s="481"/>
      <c r="F59" s="481"/>
      <c r="G59" s="481"/>
      <c r="H59" s="481"/>
      <c r="I59" s="481"/>
      <c r="J59" s="481"/>
      <c r="K59" s="481"/>
      <c r="L59" s="481"/>
      <c r="M59" s="383"/>
      <c r="N59" s="377"/>
      <c r="P59" s="30"/>
      <c r="Q59" s="31">
        <f t="shared" si="2"/>
        <v>0</v>
      </c>
    </row>
    <row r="60" spans="1:17" x14ac:dyDescent="0.2">
      <c r="A60" s="51" t="s">
        <v>165</v>
      </c>
      <c r="B60" s="52" t="s">
        <v>210</v>
      </c>
      <c r="C60" s="376">
        <v>15152.23</v>
      </c>
      <c r="D60" s="27">
        <v>15455.274600000001</v>
      </c>
      <c r="E60" s="27">
        <v>15648.47</v>
      </c>
      <c r="F60" s="27">
        <v>15844.08</v>
      </c>
      <c r="G60" s="27">
        <v>16160.96</v>
      </c>
      <c r="H60" s="7">
        <v>16443.78</v>
      </c>
      <c r="I60" s="27">
        <v>16937.09</v>
      </c>
      <c r="J60" s="7">
        <v>17783.939999999999</v>
      </c>
      <c r="K60" s="7">
        <f>I60*1.02</f>
        <v>17275.8318</v>
      </c>
      <c r="L60" s="376">
        <f>IF($S$3=1,J60-I60,K60-I60)</f>
        <v>338.74179999999978</v>
      </c>
      <c r="M60" s="377">
        <f>(IF($S$3=1,J60/I60-1,K60/I60-1))</f>
        <v>2.0000000000000018E-2</v>
      </c>
      <c r="N60" s="377"/>
      <c r="P60" s="30" t="s">
        <v>209</v>
      </c>
      <c r="Q60" s="31">
        <f t="shared" si="2"/>
        <v>328.88</v>
      </c>
    </row>
    <row r="61" spans="1:17" x14ac:dyDescent="0.2">
      <c r="A61" s="51" t="s">
        <v>166</v>
      </c>
      <c r="B61" s="52" t="s">
        <v>817</v>
      </c>
      <c r="C61" s="376">
        <v>3582.88</v>
      </c>
      <c r="D61" s="27">
        <v>3654.5376000000001</v>
      </c>
      <c r="E61" s="27">
        <v>3700.22</v>
      </c>
      <c r="F61" s="27">
        <v>3746.47</v>
      </c>
      <c r="G61" s="27">
        <v>3821.4</v>
      </c>
      <c r="H61" s="7">
        <v>3888.27</v>
      </c>
      <c r="I61" s="27">
        <v>4004.92</v>
      </c>
      <c r="J61" s="7">
        <v>5460</v>
      </c>
      <c r="K61" s="7">
        <f>I61*1.02</f>
        <v>4085.0183999999999</v>
      </c>
      <c r="L61" s="376">
        <f>IF($S$3=1,J61-I61,K61-I61)</f>
        <v>80.098399999999856</v>
      </c>
      <c r="M61" s="377">
        <f>(IF($S$3=1,J61/I61-1,K61/I61-1))</f>
        <v>2.0000000000000018E-2</v>
      </c>
      <c r="N61" s="377"/>
      <c r="P61" s="30" t="s">
        <v>209</v>
      </c>
      <c r="Q61" s="31">
        <f t="shared" si="2"/>
        <v>77.77</v>
      </c>
    </row>
    <row r="62" spans="1:17" x14ac:dyDescent="0.2">
      <c r="A62" s="51" t="s">
        <v>440</v>
      </c>
      <c r="B62" s="52" t="s">
        <v>168</v>
      </c>
      <c r="C62" s="376">
        <v>6806.1</v>
      </c>
      <c r="D62" s="27">
        <v>6806.1</v>
      </c>
      <c r="E62" s="27">
        <v>7100</v>
      </c>
      <c r="F62" s="27">
        <v>7100</v>
      </c>
      <c r="G62" s="27">
        <v>7100</v>
      </c>
      <c r="H62" s="7">
        <v>7100</v>
      </c>
      <c r="I62" s="27">
        <v>7100</v>
      </c>
      <c r="J62" s="7">
        <v>7100</v>
      </c>
      <c r="K62" s="7">
        <v>7100</v>
      </c>
      <c r="L62" s="376">
        <f>IF($S$3=1,J62-I62,K62-I62)</f>
        <v>0</v>
      </c>
      <c r="M62" s="377">
        <f>(IF($S$3=1,J62/I62-1,K62/I62-1))</f>
        <v>0</v>
      </c>
      <c r="N62" s="377"/>
      <c r="P62" s="30"/>
      <c r="Q62" s="31">
        <f t="shared" si="2"/>
        <v>0</v>
      </c>
    </row>
    <row r="63" spans="1:17" x14ac:dyDescent="0.2">
      <c r="A63" s="2" t="s">
        <v>285</v>
      </c>
      <c r="B63" s="52" t="s">
        <v>847</v>
      </c>
      <c r="C63" s="376">
        <v>1000</v>
      </c>
      <c r="D63" s="27">
        <v>1000</v>
      </c>
      <c r="E63" s="27">
        <v>1000</v>
      </c>
      <c r="F63" s="27">
        <v>1000</v>
      </c>
      <c r="G63" s="27">
        <v>1000</v>
      </c>
      <c r="H63" s="7">
        <v>1000</v>
      </c>
      <c r="I63" s="27">
        <v>1000</v>
      </c>
      <c r="J63" s="7">
        <v>1000</v>
      </c>
      <c r="K63" s="7">
        <v>1000</v>
      </c>
      <c r="L63" s="376">
        <f>IF($S$3=1,J63-I63,K63-I63)</f>
        <v>0</v>
      </c>
      <c r="M63" s="377">
        <f>(IF($S$3=1,J63/I63-1,K63/I63-1))</f>
        <v>0</v>
      </c>
      <c r="N63" s="377"/>
      <c r="P63" s="30"/>
      <c r="Q63" s="31">
        <f t="shared" si="2"/>
        <v>0</v>
      </c>
    </row>
    <row r="64" spans="1:17" ht="15" x14ac:dyDescent="0.25">
      <c r="A64" s="1"/>
      <c r="B64" s="43" t="s">
        <v>103</v>
      </c>
      <c r="C64" s="380">
        <v>26541.21</v>
      </c>
      <c r="D64" s="394">
        <v>26915.912199999999</v>
      </c>
      <c r="E64" s="39">
        <v>27448.69</v>
      </c>
      <c r="F64" s="39">
        <v>27690.55</v>
      </c>
      <c r="G64" s="39">
        <v>28082.36</v>
      </c>
      <c r="H64" s="101">
        <v>28432.05</v>
      </c>
      <c r="I64" s="39">
        <v>29042.010000000002</v>
      </c>
      <c r="J64" s="101">
        <f>SUM(J60:J63)</f>
        <v>31343.94</v>
      </c>
      <c r="K64" s="101">
        <f>SUM(K60:K63)</f>
        <v>29460.850200000001</v>
      </c>
      <c r="L64" s="382">
        <f>IF($S$3=1,J64-I64,K64-I64)</f>
        <v>418.84019999999873</v>
      </c>
      <c r="M64" s="377">
        <f>(IF($S$3=1,J64/I64-1,K64/I64-1))</f>
        <v>1.4421873692626708E-2</v>
      </c>
      <c r="N64" s="377"/>
      <c r="P64" s="30"/>
      <c r="Q64" s="31">
        <f t="shared" si="2"/>
        <v>0</v>
      </c>
    </row>
    <row r="65" spans="1:17" ht="15" x14ac:dyDescent="0.25">
      <c r="A65" s="474" t="s">
        <v>291</v>
      </c>
      <c r="B65" s="482"/>
      <c r="C65" s="479"/>
      <c r="D65" s="480"/>
      <c r="E65" s="483"/>
      <c r="F65" s="483"/>
      <c r="G65" s="483"/>
      <c r="H65" s="481"/>
      <c r="I65" s="481"/>
      <c r="J65" s="481"/>
      <c r="K65" s="481"/>
      <c r="L65" s="481"/>
      <c r="M65" s="383"/>
      <c r="N65" s="377"/>
      <c r="P65" s="30"/>
      <c r="Q65" s="31">
        <f t="shared" si="2"/>
        <v>0</v>
      </c>
    </row>
    <row r="66" spans="1:17" x14ac:dyDescent="0.2">
      <c r="A66" s="51" t="s">
        <v>38</v>
      </c>
      <c r="B66" s="52" t="s">
        <v>39</v>
      </c>
      <c r="C66" s="376">
        <v>500</v>
      </c>
      <c r="D66" s="27">
        <v>500</v>
      </c>
      <c r="E66" s="27">
        <v>500</v>
      </c>
      <c r="F66" s="27">
        <v>750</v>
      </c>
      <c r="G66" s="27">
        <v>750</v>
      </c>
      <c r="H66" s="7">
        <v>750</v>
      </c>
      <c r="I66" s="27">
        <v>750</v>
      </c>
      <c r="J66" s="7">
        <v>750</v>
      </c>
      <c r="K66" s="7">
        <v>750</v>
      </c>
      <c r="L66" s="376">
        <f>IF($S$3=1,J66-I66,K66-I66)</f>
        <v>0</v>
      </c>
      <c r="M66" s="377">
        <f>(IF($S$3=1,J66/I66-1,K66/I66-1))</f>
        <v>0</v>
      </c>
      <c r="N66" s="377"/>
      <c r="P66" s="30"/>
      <c r="Q66" s="31">
        <f t="shared" si="2"/>
        <v>0</v>
      </c>
    </row>
    <row r="67" spans="1:17" x14ac:dyDescent="0.2">
      <c r="A67" s="51" t="s">
        <v>174</v>
      </c>
      <c r="B67" s="52" t="s">
        <v>175</v>
      </c>
      <c r="C67" s="376">
        <v>2665.9</v>
      </c>
      <c r="D67" s="27">
        <v>2719.2180000000003</v>
      </c>
      <c r="E67" s="27">
        <v>2753.21</v>
      </c>
      <c r="F67" s="27">
        <v>2787.63</v>
      </c>
      <c r="G67" s="27">
        <v>2843.38</v>
      </c>
      <c r="H67" s="7">
        <v>2893.14</v>
      </c>
      <c r="I67" s="27">
        <v>2979.93</v>
      </c>
      <c r="J67" s="7">
        <v>2979.93</v>
      </c>
      <c r="K67" s="7">
        <f>I67*1.02</f>
        <v>3039.5286000000001</v>
      </c>
      <c r="L67" s="376">
        <f>IF($S$3=1,J67-I67,K67-I67)</f>
        <v>59.59860000000026</v>
      </c>
      <c r="M67" s="377">
        <f>(IF($S$3=1,J67/I67-1,K67/I67-1))</f>
        <v>2.0000000000000018E-2</v>
      </c>
      <c r="N67" s="377"/>
      <c r="P67" s="30" t="s">
        <v>209</v>
      </c>
      <c r="Q67" s="31">
        <f t="shared" si="2"/>
        <v>57.86</v>
      </c>
    </row>
    <row r="68" spans="1:17" x14ac:dyDescent="0.2">
      <c r="A68" s="51" t="s">
        <v>40</v>
      </c>
      <c r="B68" s="52" t="s">
        <v>318</v>
      </c>
      <c r="C68" s="376">
        <v>900</v>
      </c>
      <c r="D68" s="27">
        <v>900</v>
      </c>
      <c r="E68" s="27">
        <v>900</v>
      </c>
      <c r="F68" s="27">
        <v>1450</v>
      </c>
      <c r="G68" s="27">
        <v>1450</v>
      </c>
      <c r="H68" s="7">
        <v>1450</v>
      </c>
      <c r="I68" s="27">
        <v>1450</v>
      </c>
      <c r="J68" s="7">
        <v>1450</v>
      </c>
      <c r="K68" s="7">
        <v>1450</v>
      </c>
      <c r="L68" s="376">
        <f>IF($S$3=1,J68-I68,K68-I68)</f>
        <v>0</v>
      </c>
      <c r="M68" s="377">
        <f>(IF($S$3=1,J68/I68-1,K68/I68-1))</f>
        <v>0</v>
      </c>
      <c r="N68" s="377"/>
      <c r="P68" s="30"/>
      <c r="Q68" s="31">
        <f t="shared" si="2"/>
        <v>0</v>
      </c>
    </row>
    <row r="69" spans="1:17" ht="15" x14ac:dyDescent="0.25">
      <c r="A69" s="38"/>
      <c r="B69" s="43" t="s">
        <v>103</v>
      </c>
      <c r="C69" s="380">
        <v>4065.9</v>
      </c>
      <c r="D69" s="394">
        <v>4119.2180000000008</v>
      </c>
      <c r="E69" s="39">
        <v>4153.21</v>
      </c>
      <c r="F69" s="39">
        <v>4987.63</v>
      </c>
      <c r="G69" s="39">
        <v>5043.38</v>
      </c>
      <c r="H69" s="101">
        <v>5093.1399999999994</v>
      </c>
      <c r="I69" s="39">
        <v>5179.93</v>
      </c>
      <c r="J69" s="101">
        <f>SUM(J66:J68)</f>
        <v>5179.93</v>
      </c>
      <c r="K69" s="101">
        <f>SUM(K66:K68)</f>
        <v>5239.5285999999996</v>
      </c>
      <c r="L69" s="382">
        <f>IF($S$3=1,J69-I69,K69-I69)</f>
        <v>59.598599999999351</v>
      </c>
      <c r="M69" s="377">
        <f>(IF($S$3=1,J69/I69-1,K69/I69-1))</f>
        <v>1.1505676717638913E-2</v>
      </c>
      <c r="N69" s="377"/>
      <c r="P69" s="30"/>
      <c r="Q69" s="31">
        <f t="shared" si="2"/>
        <v>0</v>
      </c>
    </row>
    <row r="70" spans="1:17" ht="15" x14ac:dyDescent="0.25">
      <c r="A70" s="474" t="s">
        <v>292</v>
      </c>
      <c r="B70" s="482"/>
      <c r="C70" s="479"/>
      <c r="D70" s="480"/>
      <c r="E70" s="481"/>
      <c r="F70" s="481"/>
      <c r="G70" s="481"/>
      <c r="H70" s="481"/>
      <c r="I70" s="481"/>
      <c r="J70" s="481"/>
      <c r="K70" s="481"/>
      <c r="L70" s="481"/>
      <c r="M70" s="383"/>
      <c r="N70" s="377"/>
      <c r="P70" s="30"/>
      <c r="Q70" s="31">
        <f t="shared" si="2"/>
        <v>0</v>
      </c>
    </row>
    <row r="71" spans="1:17" x14ac:dyDescent="0.2">
      <c r="A71" s="51" t="s">
        <v>176</v>
      </c>
      <c r="B71" s="52" t="s">
        <v>177</v>
      </c>
      <c r="C71" s="376">
        <v>1500</v>
      </c>
      <c r="D71" s="27">
        <v>1500</v>
      </c>
      <c r="E71" s="27">
        <v>1500</v>
      </c>
      <c r="F71" s="27">
        <v>1500</v>
      </c>
      <c r="G71" s="27">
        <v>1500</v>
      </c>
      <c r="H71" s="7">
        <v>1500</v>
      </c>
      <c r="I71" s="27">
        <v>1500</v>
      </c>
      <c r="J71" s="113">
        <v>1500</v>
      </c>
      <c r="K71" s="7">
        <v>1500</v>
      </c>
      <c r="L71" s="376">
        <f>IF($S$3=1,J71-I71,K71-I71)</f>
        <v>0</v>
      </c>
      <c r="M71" s="377">
        <f>(IF($S$3=1,J71/I71-1,K71/I71-1))</f>
        <v>0</v>
      </c>
      <c r="N71" s="377"/>
      <c r="P71" s="30"/>
      <c r="Q71" s="31">
        <f t="shared" ref="Q71:Q136" si="16">ROUND(IF(P71="Y",H71*$S$1,0),2)</f>
        <v>0</v>
      </c>
    </row>
    <row r="72" spans="1:17" x14ac:dyDescent="0.2">
      <c r="A72" s="51" t="s">
        <v>178</v>
      </c>
      <c r="B72" s="52" t="s">
        <v>179</v>
      </c>
      <c r="C72" s="376">
        <v>2927.11</v>
      </c>
      <c r="D72" s="27">
        <v>2985.6522</v>
      </c>
      <c r="E72" s="27">
        <v>3022.97</v>
      </c>
      <c r="F72" s="27">
        <v>3060.76</v>
      </c>
      <c r="G72" s="27">
        <v>3060.76</v>
      </c>
      <c r="H72" s="7">
        <v>3114.32</v>
      </c>
      <c r="I72" s="27">
        <v>3207.75</v>
      </c>
      <c r="J72" s="113">
        <v>3207.75</v>
      </c>
      <c r="K72" s="7">
        <f>I72*1.02</f>
        <v>3271.9050000000002</v>
      </c>
      <c r="L72" s="376">
        <f>IF($S$3=1,J72-I72,K72-I72)</f>
        <v>64.1550000000002</v>
      </c>
      <c r="M72" s="377">
        <f>(IF($S$3=1,J72/I72-1,K72/I72-1))</f>
        <v>2.0000000000000018E-2</v>
      </c>
      <c r="N72" s="377"/>
      <c r="P72" s="30" t="s">
        <v>209</v>
      </c>
      <c r="Q72" s="31">
        <f t="shared" si="16"/>
        <v>62.29</v>
      </c>
    </row>
    <row r="73" spans="1:17" x14ac:dyDescent="0.2">
      <c r="A73" s="51" t="s">
        <v>180</v>
      </c>
      <c r="B73" s="52" t="s">
        <v>181</v>
      </c>
      <c r="C73" s="376">
        <v>150</v>
      </c>
      <c r="D73" s="27">
        <v>150</v>
      </c>
      <c r="E73" s="27">
        <v>375</v>
      </c>
      <c r="F73" s="27">
        <v>150</v>
      </c>
      <c r="G73" s="27">
        <v>400</v>
      </c>
      <c r="H73" s="7">
        <v>1000</v>
      </c>
      <c r="I73" s="27">
        <v>1000</v>
      </c>
      <c r="J73" s="113">
        <v>1000</v>
      </c>
      <c r="K73" s="7">
        <v>1000</v>
      </c>
      <c r="L73" s="376">
        <f>IF($S$3=1,J73-I73,K73-I73)</f>
        <v>0</v>
      </c>
      <c r="M73" s="377">
        <f>(IF($S$3=1,J73/I73-1,K73/I73-1))</f>
        <v>0</v>
      </c>
      <c r="N73" s="377"/>
      <c r="P73" s="30"/>
      <c r="Q73" s="31">
        <f t="shared" si="16"/>
        <v>0</v>
      </c>
    </row>
    <row r="74" spans="1:17" ht="15" x14ac:dyDescent="0.25">
      <c r="A74" s="38"/>
      <c r="B74" s="43" t="s">
        <v>103</v>
      </c>
      <c r="C74" s="380">
        <v>4577.1100000000006</v>
      </c>
      <c r="D74" s="394">
        <v>4635.6522000000004</v>
      </c>
      <c r="E74" s="39">
        <v>4897.9699999999993</v>
      </c>
      <c r="F74" s="39">
        <v>4710.76</v>
      </c>
      <c r="G74" s="39">
        <v>4960.76</v>
      </c>
      <c r="H74" s="101">
        <v>5614.32</v>
      </c>
      <c r="I74" s="39">
        <v>5707.75</v>
      </c>
      <c r="J74" s="101">
        <f>SUM(J71:J73)</f>
        <v>5707.75</v>
      </c>
      <c r="K74" s="101">
        <f>SUM(K71:K73)</f>
        <v>5771.9050000000007</v>
      </c>
      <c r="L74" s="382">
        <f>IF($S$3=1,J74-I74,K74-I74)</f>
        <v>64.155000000000655</v>
      </c>
      <c r="M74" s="377">
        <f>(IF($S$3=1,J74/I74-1,K74/I74-1))</f>
        <v>1.1239980727957732E-2</v>
      </c>
      <c r="N74" s="377"/>
      <c r="P74" s="30"/>
      <c r="Q74" s="31">
        <f t="shared" si="16"/>
        <v>0</v>
      </c>
    </row>
    <row r="75" spans="1:17" ht="15" x14ac:dyDescent="0.25">
      <c r="A75" s="474" t="s">
        <v>293</v>
      </c>
      <c r="B75" s="482"/>
      <c r="C75" s="479"/>
      <c r="D75" s="480"/>
      <c r="E75" s="481"/>
      <c r="F75" s="481"/>
      <c r="G75" s="481"/>
      <c r="H75" s="481"/>
      <c r="I75" s="481"/>
      <c r="J75" s="481"/>
      <c r="K75" s="481"/>
      <c r="L75" s="481"/>
      <c r="M75" s="383"/>
      <c r="N75" s="377"/>
      <c r="P75" s="30"/>
      <c r="Q75" s="31">
        <f t="shared" si="16"/>
        <v>0</v>
      </c>
    </row>
    <row r="76" spans="1:17" x14ac:dyDescent="0.2">
      <c r="A76" s="51" t="s">
        <v>184</v>
      </c>
      <c r="B76" s="52" t="s">
        <v>185</v>
      </c>
      <c r="C76" s="376">
        <v>0</v>
      </c>
      <c r="D76" s="27">
        <v>0</v>
      </c>
      <c r="E76" s="27">
        <v>0</v>
      </c>
      <c r="F76" s="27">
        <v>0</v>
      </c>
      <c r="G76" s="27"/>
      <c r="H76" s="7"/>
      <c r="I76" s="27"/>
      <c r="J76" s="7"/>
      <c r="K76" s="7"/>
      <c r="L76" s="376">
        <f>IF($S$3=1,J76-I76,K76-I76)</f>
        <v>0</v>
      </c>
      <c r="M76" s="377"/>
      <c r="N76" s="377"/>
      <c r="P76" s="30"/>
      <c r="Q76" s="31">
        <f t="shared" si="16"/>
        <v>0</v>
      </c>
    </row>
    <row r="77" spans="1:17" x14ac:dyDescent="0.2">
      <c r="A77" s="51" t="s">
        <v>182</v>
      </c>
      <c r="B77" s="52" t="s">
        <v>183</v>
      </c>
      <c r="C77" s="376">
        <v>30</v>
      </c>
      <c r="D77" s="27">
        <v>30</v>
      </c>
      <c r="E77" s="27">
        <v>30</v>
      </c>
      <c r="F77" s="27">
        <v>30</v>
      </c>
      <c r="G77" s="27">
        <v>30</v>
      </c>
      <c r="H77" s="7">
        <v>30</v>
      </c>
      <c r="I77" s="27">
        <v>30</v>
      </c>
      <c r="J77" s="113">
        <v>30</v>
      </c>
      <c r="K77" s="7">
        <v>30</v>
      </c>
      <c r="L77" s="376">
        <f>IF($S$3=1,J77-I77,K77-I77)</f>
        <v>0</v>
      </c>
      <c r="M77" s="377">
        <f>(IF($S$3=1,J77/I77-1,K77/I77-1))</f>
        <v>0</v>
      </c>
      <c r="N77" s="377"/>
      <c r="P77" s="30"/>
      <c r="Q77" s="31">
        <f t="shared" si="16"/>
        <v>0</v>
      </c>
    </row>
    <row r="78" spans="1:17" ht="15" x14ac:dyDescent="0.25">
      <c r="A78" s="1"/>
      <c r="B78" s="43" t="s">
        <v>103</v>
      </c>
      <c r="C78" s="380">
        <v>30</v>
      </c>
      <c r="D78" s="394">
        <v>30</v>
      </c>
      <c r="E78" s="39">
        <v>30</v>
      </c>
      <c r="F78" s="39">
        <v>30</v>
      </c>
      <c r="G78" s="39">
        <v>30</v>
      </c>
      <c r="H78" s="101">
        <v>30</v>
      </c>
      <c r="I78" s="39">
        <v>30</v>
      </c>
      <c r="J78" s="101">
        <f>SUM(J76:J77)</f>
        <v>30</v>
      </c>
      <c r="K78" s="101">
        <f>SUM(K76:K77)</f>
        <v>30</v>
      </c>
      <c r="L78" s="382">
        <f>IF($S$3=1,J78-I78,K78-I78)</f>
        <v>0</v>
      </c>
      <c r="M78" s="377">
        <f>(IF($S$3=1,J78/I78-1,K78/I78-1))</f>
        <v>0</v>
      </c>
      <c r="N78" s="377"/>
      <c r="P78" s="30"/>
      <c r="Q78" s="31">
        <f t="shared" si="16"/>
        <v>0</v>
      </c>
    </row>
    <row r="79" spans="1:17" ht="15" x14ac:dyDescent="0.25">
      <c r="A79" s="477" t="s">
        <v>252</v>
      </c>
      <c r="B79" s="484"/>
      <c r="C79" s="479"/>
      <c r="D79" s="480"/>
      <c r="E79" s="481"/>
      <c r="F79" s="481"/>
      <c r="G79" s="481"/>
      <c r="H79" s="481"/>
      <c r="I79" s="481"/>
      <c r="J79" s="481"/>
      <c r="K79" s="481"/>
      <c r="L79" s="481"/>
      <c r="M79" s="383"/>
      <c r="N79" s="377"/>
      <c r="P79" s="30"/>
      <c r="Q79" s="31">
        <f t="shared" si="16"/>
        <v>0</v>
      </c>
    </row>
    <row r="80" spans="1:17" x14ac:dyDescent="0.2">
      <c r="A80" s="51" t="s">
        <v>187</v>
      </c>
      <c r="B80" s="52" t="s">
        <v>818</v>
      </c>
      <c r="C80" s="390">
        <v>6242.25</v>
      </c>
      <c r="D80" s="69">
        <v>35783.099399999999</v>
      </c>
      <c r="E80" s="27">
        <v>36230.39</v>
      </c>
      <c r="F80" s="27">
        <v>38041.910000000003</v>
      </c>
      <c r="G80" s="27">
        <v>38802.75</v>
      </c>
      <c r="H80" s="7">
        <v>39481.800000000003</v>
      </c>
      <c r="I80" s="27">
        <v>40666.25</v>
      </c>
      <c r="J80" s="7">
        <v>43223.63</v>
      </c>
      <c r="K80" s="7">
        <v>43223.63</v>
      </c>
      <c r="L80" s="376">
        <f t="shared" ref="L80:L91" si="17">IF($S$3=1,J80-I80,K80-I80)</f>
        <v>2557.3799999999974</v>
      </c>
      <c r="M80" s="377">
        <f>(IF($S$3=1,J80/I80-1,K80/I80-1))</f>
        <v>6.2887037777026311E-2</v>
      </c>
      <c r="N80" s="377"/>
      <c r="P80" s="30" t="s">
        <v>209</v>
      </c>
      <c r="Q80" s="31">
        <f t="shared" si="16"/>
        <v>789.64</v>
      </c>
    </row>
    <row r="81" spans="1:17" x14ac:dyDescent="0.2">
      <c r="A81" s="391" t="s">
        <v>272</v>
      </c>
      <c r="B81" s="52" t="s">
        <v>186</v>
      </c>
      <c r="C81" s="390">
        <v>34225.82</v>
      </c>
      <c r="D81" s="69">
        <v>6526.2762000000002</v>
      </c>
      <c r="E81" s="27">
        <v>6607.85</v>
      </c>
      <c r="F81" s="27">
        <v>12147.2</v>
      </c>
      <c r="G81" s="27">
        <v>12390.14</v>
      </c>
      <c r="H81" s="7">
        <v>12606.97</v>
      </c>
      <c r="I81" s="27">
        <v>12985.18</v>
      </c>
      <c r="J81" s="7">
        <v>13374.7</v>
      </c>
      <c r="K81" s="7">
        <f>I81*1.02</f>
        <v>13244.883600000001</v>
      </c>
      <c r="L81" s="376">
        <f t="shared" si="17"/>
        <v>259.70360000000073</v>
      </c>
      <c r="M81" s="377">
        <f>(IF($S$3=1,J81/I81-1,K81/I81-1))</f>
        <v>2.0000000000000018E-2</v>
      </c>
      <c r="N81" s="377"/>
      <c r="P81" s="30" t="s">
        <v>209</v>
      </c>
      <c r="Q81" s="31">
        <f t="shared" si="16"/>
        <v>252.14</v>
      </c>
    </row>
    <row r="82" spans="1:17" x14ac:dyDescent="0.2">
      <c r="A82" s="391"/>
      <c r="B82" s="52" t="s">
        <v>892</v>
      </c>
      <c r="C82" s="390">
        <v>34225.82</v>
      </c>
      <c r="D82" s="69">
        <v>6526.2762000000002</v>
      </c>
      <c r="E82" s="27">
        <v>6607.85</v>
      </c>
      <c r="F82" s="27">
        <v>12147.2</v>
      </c>
      <c r="G82" s="27"/>
      <c r="H82" s="7"/>
      <c r="I82" s="27"/>
      <c r="J82" s="7">
        <v>2500</v>
      </c>
      <c r="K82" s="7"/>
      <c r="L82" s="376">
        <f t="shared" ref="L82" si="18">IF($S$3=1,J82-I82,K82-I82)</f>
        <v>0</v>
      </c>
      <c r="M82" s="377"/>
      <c r="N82" s="377"/>
      <c r="P82" s="30"/>
      <c r="Q82" s="31"/>
    </row>
    <row r="83" spans="1:17" x14ac:dyDescent="0.2">
      <c r="A83" s="51" t="s">
        <v>672</v>
      </c>
      <c r="B83" s="52" t="s">
        <v>659</v>
      </c>
      <c r="C83" s="390">
        <v>2015</v>
      </c>
      <c r="D83" s="69">
        <v>0</v>
      </c>
      <c r="E83" s="27">
        <v>0</v>
      </c>
      <c r="F83" s="27">
        <v>0</v>
      </c>
      <c r="G83" s="27">
        <v>2000</v>
      </c>
      <c r="H83" s="7">
        <v>2000</v>
      </c>
      <c r="I83" s="27">
        <v>2000</v>
      </c>
      <c r="J83" s="7">
        <v>2000</v>
      </c>
      <c r="K83" s="7">
        <v>2000</v>
      </c>
      <c r="L83" s="376">
        <f t="shared" si="17"/>
        <v>0</v>
      </c>
      <c r="M83" s="377">
        <f>(IF($S$3=1,J83/I83-1,K83/I83-1))</f>
        <v>0</v>
      </c>
      <c r="N83" s="377"/>
      <c r="P83" s="30"/>
      <c r="Q83" s="31">
        <f t="shared" si="16"/>
        <v>0</v>
      </c>
    </row>
    <row r="84" spans="1:17" x14ac:dyDescent="0.2">
      <c r="A84" s="51"/>
      <c r="B84" s="52" t="s">
        <v>848</v>
      </c>
      <c r="C84" s="390">
        <v>2015</v>
      </c>
      <c r="D84" s="69">
        <v>0</v>
      </c>
      <c r="E84" s="27">
        <v>0</v>
      </c>
      <c r="F84" s="27">
        <v>0</v>
      </c>
      <c r="G84" s="27">
        <v>0</v>
      </c>
      <c r="H84" s="7">
        <v>0</v>
      </c>
      <c r="I84" s="27">
        <v>2000</v>
      </c>
      <c r="J84" s="7">
        <v>2200</v>
      </c>
      <c r="K84" s="7">
        <v>2200</v>
      </c>
      <c r="L84" s="376">
        <f t="shared" si="17"/>
        <v>200</v>
      </c>
      <c r="M84" s="377">
        <f>(IF($S$3=1,J84/I84-1,K84/I84-1))</f>
        <v>0.10000000000000009</v>
      </c>
      <c r="N84" s="377"/>
      <c r="P84" s="30"/>
      <c r="Q84" s="31">
        <f t="shared" si="16"/>
        <v>0</v>
      </c>
    </row>
    <row r="85" spans="1:17" x14ac:dyDescent="0.2">
      <c r="A85" s="51" t="s">
        <v>189</v>
      </c>
      <c r="B85" s="52" t="s">
        <v>190</v>
      </c>
      <c r="C85" s="390">
        <v>620</v>
      </c>
      <c r="D85" s="69">
        <v>620</v>
      </c>
      <c r="E85" s="27">
        <v>620</v>
      </c>
      <c r="F85" s="27">
        <v>620</v>
      </c>
      <c r="G85" s="27">
        <v>620</v>
      </c>
      <c r="H85" s="7">
        <v>620</v>
      </c>
      <c r="I85" s="27">
        <v>620</v>
      </c>
      <c r="J85" s="7">
        <v>620</v>
      </c>
      <c r="K85" s="7">
        <v>620</v>
      </c>
      <c r="L85" s="376">
        <f t="shared" si="17"/>
        <v>0</v>
      </c>
      <c r="M85" s="377">
        <f t="shared" ref="M85:M91" si="19">(IF($S$3=1,J85/I85-1,K85/I85-1))</f>
        <v>0</v>
      </c>
      <c r="N85" s="377"/>
      <c r="P85" s="30"/>
      <c r="Q85" s="31">
        <f t="shared" si="16"/>
        <v>0</v>
      </c>
    </row>
    <row r="86" spans="1:17" x14ac:dyDescent="0.2">
      <c r="A86" s="51" t="s">
        <v>274</v>
      </c>
      <c r="B86" s="52" t="s">
        <v>193</v>
      </c>
      <c r="C86" s="376">
        <v>516</v>
      </c>
      <c r="D86" s="27">
        <v>516</v>
      </c>
      <c r="E86" s="27">
        <v>516</v>
      </c>
      <c r="F86" s="27">
        <v>1032</v>
      </c>
      <c r="G86" s="27">
        <v>1032</v>
      </c>
      <c r="H86" s="7">
        <v>1032</v>
      </c>
      <c r="I86" s="27">
        <v>1440</v>
      </c>
      <c r="J86" s="7">
        <v>1440</v>
      </c>
      <c r="K86" s="7">
        <v>1440</v>
      </c>
      <c r="L86" s="376">
        <f t="shared" si="17"/>
        <v>0</v>
      </c>
      <c r="M86" s="377">
        <f t="shared" si="19"/>
        <v>0</v>
      </c>
      <c r="N86" s="377"/>
      <c r="P86" s="30"/>
      <c r="Q86" s="31">
        <f t="shared" si="16"/>
        <v>0</v>
      </c>
    </row>
    <row r="87" spans="1:17" x14ac:dyDescent="0.2">
      <c r="A87" s="53" t="s">
        <v>270</v>
      </c>
      <c r="B87" s="54" t="s">
        <v>205</v>
      </c>
      <c r="C87" s="388">
        <v>4000</v>
      </c>
      <c r="D87" s="34">
        <v>4000</v>
      </c>
      <c r="E87" s="34">
        <v>4000</v>
      </c>
      <c r="F87" s="34">
        <v>4000</v>
      </c>
      <c r="G87" s="34">
        <v>4000</v>
      </c>
      <c r="H87" s="100">
        <v>4000</v>
      </c>
      <c r="I87" s="34">
        <v>4000</v>
      </c>
      <c r="J87" s="100">
        <v>4000</v>
      </c>
      <c r="K87" s="100">
        <v>4000</v>
      </c>
      <c r="L87" s="376">
        <f t="shared" si="17"/>
        <v>0</v>
      </c>
      <c r="M87" s="377">
        <f t="shared" si="19"/>
        <v>0</v>
      </c>
      <c r="N87" s="377"/>
      <c r="P87" s="30"/>
      <c r="Q87" s="31">
        <f t="shared" si="16"/>
        <v>0</v>
      </c>
    </row>
    <row r="88" spans="1:17" x14ac:dyDescent="0.2">
      <c r="A88" s="51" t="s">
        <v>441</v>
      </c>
      <c r="B88" s="52" t="s">
        <v>386</v>
      </c>
      <c r="C88" s="392"/>
      <c r="D88" s="27">
        <v>3500</v>
      </c>
      <c r="E88" s="27">
        <v>3500</v>
      </c>
      <c r="F88" s="27">
        <v>3500</v>
      </c>
      <c r="G88" s="27">
        <v>3500</v>
      </c>
      <c r="H88" s="7">
        <v>3500</v>
      </c>
      <c r="I88" s="27">
        <v>3500</v>
      </c>
      <c r="J88" s="7">
        <v>3500</v>
      </c>
      <c r="K88" s="7">
        <v>3500</v>
      </c>
      <c r="L88" s="376">
        <f t="shared" si="17"/>
        <v>0</v>
      </c>
      <c r="M88" s="377">
        <f t="shared" si="19"/>
        <v>0</v>
      </c>
      <c r="N88" s="377"/>
      <c r="P88" s="30"/>
      <c r="Q88" s="31">
        <f t="shared" si="16"/>
        <v>0</v>
      </c>
    </row>
    <row r="89" spans="1:17" x14ac:dyDescent="0.2">
      <c r="A89" s="51" t="s">
        <v>191</v>
      </c>
      <c r="B89" s="52" t="s">
        <v>15</v>
      </c>
      <c r="C89" s="390">
        <v>4480</v>
      </c>
      <c r="D89" s="69">
        <v>4480</v>
      </c>
      <c r="E89" s="27">
        <v>4480</v>
      </c>
      <c r="F89" s="27">
        <v>5000</v>
      </c>
      <c r="G89" s="27">
        <v>5000</v>
      </c>
      <c r="H89" s="7">
        <v>5000</v>
      </c>
      <c r="I89" s="27">
        <v>5000</v>
      </c>
      <c r="J89" s="7">
        <v>5000</v>
      </c>
      <c r="K89" s="7">
        <v>5000</v>
      </c>
      <c r="L89" s="376">
        <f t="shared" si="17"/>
        <v>0</v>
      </c>
      <c r="M89" s="377">
        <f t="shared" si="19"/>
        <v>0</v>
      </c>
      <c r="N89" s="377"/>
      <c r="P89" s="30"/>
      <c r="Q89" s="31">
        <f t="shared" si="16"/>
        <v>0</v>
      </c>
    </row>
    <row r="90" spans="1:17" x14ac:dyDescent="0.2">
      <c r="A90" s="51" t="s">
        <v>273</v>
      </c>
      <c r="B90" s="52" t="s">
        <v>192</v>
      </c>
      <c r="C90" s="390">
        <v>2015</v>
      </c>
      <c r="D90" s="69">
        <v>2060</v>
      </c>
      <c r="E90" s="27">
        <v>2175</v>
      </c>
      <c r="F90" s="27">
        <v>2175</v>
      </c>
      <c r="G90" s="27">
        <v>2175</v>
      </c>
      <c r="H90" s="7">
        <v>2225</v>
      </c>
      <c r="I90" s="27">
        <v>3895</v>
      </c>
      <c r="J90" s="6">
        <v>3895</v>
      </c>
      <c r="K90" s="6">
        <v>3895</v>
      </c>
      <c r="L90" s="376">
        <f t="shared" si="17"/>
        <v>0</v>
      </c>
      <c r="M90" s="377">
        <f t="shared" si="19"/>
        <v>0</v>
      </c>
      <c r="N90" s="377"/>
      <c r="P90" s="30"/>
      <c r="Q90" s="31">
        <f t="shared" si="16"/>
        <v>0</v>
      </c>
    </row>
    <row r="91" spans="1:17" ht="15" x14ac:dyDescent="0.25">
      <c r="A91" s="38"/>
      <c r="B91" s="43" t="s">
        <v>103</v>
      </c>
      <c r="C91" s="380">
        <v>52099.07</v>
      </c>
      <c r="D91" s="394">
        <v>57485.375599999999</v>
      </c>
      <c r="E91" s="39">
        <v>58129.24</v>
      </c>
      <c r="F91" s="39">
        <v>66516.11</v>
      </c>
      <c r="G91" s="39">
        <v>76519.89</v>
      </c>
      <c r="H91" s="101">
        <v>70465.77</v>
      </c>
      <c r="I91" s="39">
        <v>76106.429999999993</v>
      </c>
      <c r="J91" s="101">
        <f>SUM(J80:J90)</f>
        <v>81753.33</v>
      </c>
      <c r="K91" s="101">
        <f>SUM(K80:K90)</f>
        <v>79123.513600000006</v>
      </c>
      <c r="L91" s="382">
        <f t="shared" si="17"/>
        <v>3017.0836000000127</v>
      </c>
      <c r="M91" s="377">
        <f t="shared" si="19"/>
        <v>3.9642952638824447E-2</v>
      </c>
      <c r="N91" s="377"/>
      <c r="P91" s="30"/>
      <c r="Q91" s="31">
        <f t="shared" si="16"/>
        <v>0</v>
      </c>
    </row>
    <row r="92" spans="1:17" ht="15" x14ac:dyDescent="0.25">
      <c r="A92" s="474" t="s">
        <v>253</v>
      </c>
      <c r="B92" s="482"/>
      <c r="C92" s="479"/>
      <c r="D92" s="480"/>
      <c r="E92" s="481"/>
      <c r="F92" s="481"/>
      <c r="G92" s="481"/>
      <c r="H92" s="481"/>
      <c r="I92" s="481"/>
      <c r="J92" s="481"/>
      <c r="K92" s="481"/>
      <c r="L92" s="481"/>
      <c r="M92" s="377"/>
      <c r="N92" s="377"/>
      <c r="P92" s="30"/>
      <c r="Q92" s="31">
        <f t="shared" si="16"/>
        <v>0</v>
      </c>
    </row>
    <row r="93" spans="1:17" x14ac:dyDescent="0.2">
      <c r="A93" s="25" t="s">
        <v>196</v>
      </c>
      <c r="B93" s="26" t="s">
        <v>355</v>
      </c>
      <c r="C93" s="376">
        <v>6304.67</v>
      </c>
      <c r="D93" s="27">
        <v>6430.77</v>
      </c>
      <c r="E93" s="27">
        <v>6511.15</v>
      </c>
      <c r="F93" s="27">
        <v>6592.54</v>
      </c>
      <c r="G93" s="27">
        <v>6724.39</v>
      </c>
      <c r="H93" s="7">
        <v>6842.07</v>
      </c>
      <c r="I93" s="27">
        <v>7047.33</v>
      </c>
      <c r="J93" s="7">
        <v>10000</v>
      </c>
      <c r="K93" s="7">
        <v>9000</v>
      </c>
      <c r="L93" s="376">
        <f t="shared" ref="L93:L105" si="20">IF($S$3=1,J93-I93,K93-I93)</f>
        <v>1952.67</v>
      </c>
      <c r="M93" s="377">
        <f t="shared" ref="M93:M103" si="21">(IF($S$3=1,J93/I93-1,K93/I93-1))</f>
        <v>0.277079404540443</v>
      </c>
      <c r="N93" s="377"/>
      <c r="P93" s="30" t="s">
        <v>209</v>
      </c>
      <c r="Q93" s="31">
        <f t="shared" si="16"/>
        <v>136.84</v>
      </c>
    </row>
    <row r="94" spans="1:17" x14ac:dyDescent="0.2">
      <c r="A94" s="25" t="s">
        <v>195</v>
      </c>
      <c r="B94" s="26" t="s">
        <v>693</v>
      </c>
      <c r="C94" s="376">
        <v>4728.51</v>
      </c>
      <c r="D94" s="27">
        <v>3803.0802000000003</v>
      </c>
      <c r="E94" s="27">
        <v>3850.62</v>
      </c>
      <c r="F94" s="27">
        <v>3898.75</v>
      </c>
      <c r="G94" s="27">
        <v>16398.75</v>
      </c>
      <c r="H94" s="7">
        <v>28898.75</v>
      </c>
      <c r="I94" s="27">
        <v>29765.71</v>
      </c>
      <c r="J94" s="7">
        <v>29765.71</v>
      </c>
      <c r="K94" s="7">
        <f t="shared" ref="K94:K98" si="22">I94*1.02</f>
        <v>30361.0242</v>
      </c>
      <c r="L94" s="376">
        <f t="shared" si="20"/>
        <v>595.31420000000071</v>
      </c>
      <c r="M94" s="377">
        <f t="shared" si="21"/>
        <v>2.0000000000000018E-2</v>
      </c>
      <c r="N94" s="377"/>
      <c r="P94" s="30" t="s">
        <v>209</v>
      </c>
      <c r="Q94" s="31">
        <f t="shared" si="16"/>
        <v>577.98</v>
      </c>
    </row>
    <row r="95" spans="1:17" x14ac:dyDescent="0.2">
      <c r="A95" s="25" t="s">
        <v>197</v>
      </c>
      <c r="B95" s="26" t="s">
        <v>357</v>
      </c>
      <c r="C95" s="376">
        <v>2101.56</v>
      </c>
      <c r="D95" s="27">
        <v>2143.5911999999998</v>
      </c>
      <c r="E95" s="27">
        <v>2170.39</v>
      </c>
      <c r="F95" s="27">
        <v>2197.52</v>
      </c>
      <c r="G95" s="27">
        <v>2241.4699999999998</v>
      </c>
      <c r="H95" s="7">
        <v>2280.6999999999998</v>
      </c>
      <c r="I95" s="27">
        <v>2349.12</v>
      </c>
      <c r="J95" s="7">
        <v>2349.12</v>
      </c>
      <c r="K95" s="7">
        <f t="shared" si="22"/>
        <v>2396.1023999999998</v>
      </c>
      <c r="L95" s="376">
        <f t="shared" si="20"/>
        <v>46.98239999999987</v>
      </c>
      <c r="M95" s="377">
        <f t="shared" si="21"/>
        <v>2.0000000000000018E-2</v>
      </c>
      <c r="N95" s="377"/>
      <c r="P95" s="30" t="s">
        <v>209</v>
      </c>
      <c r="Q95" s="31">
        <f t="shared" si="16"/>
        <v>45.61</v>
      </c>
    </row>
    <row r="96" spans="1:17" x14ac:dyDescent="0.2">
      <c r="A96" s="25"/>
      <c r="B96" s="26" t="s">
        <v>884</v>
      </c>
      <c r="C96" s="376"/>
      <c r="D96" s="27"/>
      <c r="E96" s="27"/>
      <c r="F96" s="27"/>
      <c r="G96" s="27"/>
      <c r="H96" s="7"/>
      <c r="I96" s="27"/>
      <c r="J96" s="7">
        <v>2349.12</v>
      </c>
      <c r="K96" s="7">
        <v>2396.1023999999998</v>
      </c>
      <c r="L96" s="376"/>
      <c r="M96" s="377"/>
      <c r="N96" s="377"/>
      <c r="P96" s="30"/>
      <c r="Q96" s="31"/>
    </row>
    <row r="97" spans="1:17" x14ac:dyDescent="0.2">
      <c r="A97" s="25" t="s">
        <v>198</v>
      </c>
      <c r="B97" s="26" t="s">
        <v>358</v>
      </c>
      <c r="C97" s="376">
        <v>2101.56</v>
      </c>
      <c r="D97" s="27">
        <v>2143.5911999999998</v>
      </c>
      <c r="E97" s="27">
        <v>2170.39</v>
      </c>
      <c r="F97" s="27">
        <v>2197.52</v>
      </c>
      <c r="G97" s="27">
        <v>2241.4699999999998</v>
      </c>
      <c r="H97" s="7">
        <v>2280.6999999999998</v>
      </c>
      <c r="I97" s="27">
        <v>2349.12</v>
      </c>
      <c r="J97" s="7">
        <v>2349.12</v>
      </c>
      <c r="K97" s="7">
        <f t="shared" si="22"/>
        <v>2396.1023999999998</v>
      </c>
      <c r="L97" s="376">
        <f t="shared" si="20"/>
        <v>46.98239999999987</v>
      </c>
      <c r="M97" s="377">
        <f t="shared" si="21"/>
        <v>2.0000000000000018E-2</v>
      </c>
      <c r="N97" s="377"/>
      <c r="P97" s="30" t="s">
        <v>209</v>
      </c>
      <c r="Q97" s="31">
        <f t="shared" si="16"/>
        <v>45.61</v>
      </c>
    </row>
    <row r="98" spans="1:17" x14ac:dyDescent="0.2">
      <c r="A98" s="32" t="s">
        <v>354</v>
      </c>
      <c r="B98" s="37" t="s">
        <v>359</v>
      </c>
      <c r="C98" s="410"/>
      <c r="D98" s="34">
        <v>1020</v>
      </c>
      <c r="E98" s="34">
        <v>1032.75</v>
      </c>
      <c r="F98" s="34">
        <v>1045.6600000000001</v>
      </c>
      <c r="G98" s="34">
        <v>1066.57</v>
      </c>
      <c r="H98" s="100">
        <v>1085.23</v>
      </c>
      <c r="I98" s="34">
        <v>1117.79</v>
      </c>
      <c r="J98" s="100">
        <v>1117.79</v>
      </c>
      <c r="K98" s="100">
        <f t="shared" si="22"/>
        <v>1140.1458</v>
      </c>
      <c r="L98" s="376">
        <f t="shared" si="20"/>
        <v>22.355800000000045</v>
      </c>
      <c r="M98" s="377">
        <f t="shared" si="21"/>
        <v>2.0000000000000018E-2</v>
      </c>
      <c r="N98" s="377"/>
      <c r="P98" s="30" t="s">
        <v>209</v>
      </c>
      <c r="Q98" s="31">
        <f t="shared" si="16"/>
        <v>21.7</v>
      </c>
    </row>
    <row r="99" spans="1:17" x14ac:dyDescent="0.2">
      <c r="A99" s="25" t="s">
        <v>276</v>
      </c>
      <c r="B99" s="26"/>
      <c r="C99" s="376">
        <v>3000</v>
      </c>
      <c r="D99" s="27">
        <v>3000</v>
      </c>
      <c r="E99" s="27">
        <v>3000</v>
      </c>
      <c r="F99" s="27">
        <v>5500</v>
      </c>
      <c r="G99" s="27">
        <v>5500</v>
      </c>
      <c r="H99" s="7">
        <v>6000</v>
      </c>
      <c r="I99" s="27">
        <v>8000</v>
      </c>
      <c r="J99" s="7">
        <v>8000</v>
      </c>
      <c r="K99" s="7">
        <v>8000</v>
      </c>
      <c r="L99" s="376">
        <f t="shared" si="20"/>
        <v>0</v>
      </c>
      <c r="M99" s="377">
        <f t="shared" si="21"/>
        <v>0</v>
      </c>
      <c r="N99" s="377"/>
      <c r="P99" s="30"/>
      <c r="Q99" s="31">
        <f t="shared" si="16"/>
        <v>0</v>
      </c>
    </row>
    <row r="100" spans="1:17" x14ac:dyDescent="0.2">
      <c r="A100" s="25" t="s">
        <v>199</v>
      </c>
      <c r="B100" s="26" t="s">
        <v>360</v>
      </c>
      <c r="C100" s="376">
        <v>3500</v>
      </c>
      <c r="D100" s="27">
        <v>3500</v>
      </c>
      <c r="E100" s="27">
        <v>7980</v>
      </c>
      <c r="F100" s="27">
        <v>7980</v>
      </c>
      <c r="G100" s="27">
        <v>7980</v>
      </c>
      <c r="H100" s="7">
        <v>8480</v>
      </c>
      <c r="I100" s="27">
        <v>8480</v>
      </c>
      <c r="J100" s="7">
        <v>8480</v>
      </c>
      <c r="K100" s="7">
        <v>8480</v>
      </c>
      <c r="L100" s="376">
        <f t="shared" si="20"/>
        <v>0</v>
      </c>
      <c r="M100" s="377">
        <f t="shared" si="21"/>
        <v>0</v>
      </c>
      <c r="N100" s="377"/>
      <c r="P100" s="30"/>
      <c r="Q100" s="31">
        <f t="shared" si="16"/>
        <v>0</v>
      </c>
    </row>
    <row r="101" spans="1:17" x14ac:dyDescent="0.2">
      <c r="A101" s="25" t="s">
        <v>399</v>
      </c>
      <c r="B101" s="26" t="s">
        <v>388</v>
      </c>
      <c r="C101" s="392"/>
      <c r="D101" s="27">
        <v>5500</v>
      </c>
      <c r="E101" s="27">
        <v>5500</v>
      </c>
      <c r="F101" s="27">
        <v>5500</v>
      </c>
      <c r="G101" s="27">
        <v>5500</v>
      </c>
      <c r="H101" s="7">
        <v>5500</v>
      </c>
      <c r="I101" s="27">
        <v>5500</v>
      </c>
      <c r="J101" s="7">
        <v>5500</v>
      </c>
      <c r="K101" s="7">
        <v>5500</v>
      </c>
      <c r="L101" s="376">
        <f t="shared" si="20"/>
        <v>0</v>
      </c>
      <c r="M101" s="377">
        <f t="shared" si="21"/>
        <v>0</v>
      </c>
      <c r="N101" s="377"/>
      <c r="P101" s="30"/>
      <c r="Q101" s="31">
        <f t="shared" si="16"/>
        <v>0</v>
      </c>
    </row>
    <row r="102" spans="1:17" x14ac:dyDescent="0.2">
      <c r="A102" s="25" t="s">
        <v>194</v>
      </c>
      <c r="B102" s="26" t="s">
        <v>361</v>
      </c>
      <c r="C102" s="376">
        <v>19000</v>
      </c>
      <c r="D102" s="27">
        <v>19000</v>
      </c>
      <c r="E102" s="27">
        <v>11520</v>
      </c>
      <c r="F102" s="27">
        <v>11520</v>
      </c>
      <c r="G102" s="27">
        <v>11520</v>
      </c>
      <c r="H102" s="7">
        <v>11520</v>
      </c>
      <c r="I102" s="27">
        <v>11520</v>
      </c>
      <c r="J102" s="7">
        <v>15520</v>
      </c>
      <c r="K102" s="7">
        <v>13520</v>
      </c>
      <c r="L102" s="376">
        <f t="shared" si="20"/>
        <v>2000</v>
      </c>
      <c r="M102" s="377">
        <f t="shared" si="21"/>
        <v>0.17361111111111116</v>
      </c>
      <c r="N102" s="377"/>
      <c r="P102" s="30"/>
      <c r="Q102" s="31">
        <f t="shared" si="16"/>
        <v>0</v>
      </c>
    </row>
    <row r="103" spans="1:17" x14ac:dyDescent="0.2">
      <c r="A103" s="25" t="s">
        <v>200</v>
      </c>
      <c r="B103" s="26" t="s">
        <v>362</v>
      </c>
      <c r="C103" s="376">
        <v>1500</v>
      </c>
      <c r="D103" s="27">
        <v>1500</v>
      </c>
      <c r="E103" s="27">
        <v>1500</v>
      </c>
      <c r="F103" s="27">
        <v>1500</v>
      </c>
      <c r="G103" s="27">
        <v>1500</v>
      </c>
      <c r="H103" s="7">
        <v>1500</v>
      </c>
      <c r="I103" s="27">
        <v>2500</v>
      </c>
      <c r="J103" s="7">
        <v>2500</v>
      </c>
      <c r="K103" s="7">
        <v>2500</v>
      </c>
      <c r="L103" s="376">
        <f t="shared" si="20"/>
        <v>0</v>
      </c>
      <c r="M103" s="377">
        <f t="shared" si="21"/>
        <v>0</v>
      </c>
      <c r="N103" s="377"/>
      <c r="P103" s="30"/>
      <c r="Q103" s="31">
        <f t="shared" si="16"/>
        <v>0</v>
      </c>
    </row>
    <row r="104" spans="1:17" x14ac:dyDescent="0.2">
      <c r="A104" s="25"/>
      <c r="B104" s="26" t="s">
        <v>851</v>
      </c>
      <c r="C104" s="376">
        <v>1500</v>
      </c>
      <c r="D104" s="27">
        <v>1500</v>
      </c>
      <c r="E104" s="27">
        <v>1500</v>
      </c>
      <c r="F104" s="27"/>
      <c r="G104" s="27"/>
      <c r="H104" s="7"/>
      <c r="I104" s="27">
        <v>6900</v>
      </c>
      <c r="J104" s="7">
        <v>6900</v>
      </c>
      <c r="K104" s="7">
        <v>6900</v>
      </c>
      <c r="L104" s="376">
        <f t="shared" si="20"/>
        <v>0</v>
      </c>
      <c r="M104" s="377">
        <f>(IF($S$3=1,J104/I104-1,K104/I104-1))</f>
        <v>0</v>
      </c>
      <c r="N104" s="377"/>
      <c r="P104" s="30"/>
      <c r="Q104" s="31">
        <f t="shared" si="16"/>
        <v>0</v>
      </c>
    </row>
    <row r="105" spans="1:17" ht="15" x14ac:dyDescent="0.25">
      <c r="A105" s="38"/>
      <c r="B105" s="43" t="s">
        <v>103</v>
      </c>
      <c r="C105" s="380">
        <v>42236.3</v>
      </c>
      <c r="D105" s="394">
        <v>48041.032599999999</v>
      </c>
      <c r="E105" s="39">
        <v>45235.3</v>
      </c>
      <c r="F105" s="39">
        <v>47931.990000000005</v>
      </c>
      <c r="G105" s="39">
        <v>60672.65</v>
      </c>
      <c r="H105" s="101">
        <v>74387.45</v>
      </c>
      <c r="I105" s="39">
        <v>85529.07</v>
      </c>
      <c r="J105" s="101">
        <f>SUM(J93:J104)</f>
        <v>94830.860000000015</v>
      </c>
      <c r="K105" s="101">
        <f>SUM(K93:K104)</f>
        <v>92589.477200000008</v>
      </c>
      <c r="L105" s="382">
        <f t="shared" si="20"/>
        <v>7060.4072000000015</v>
      </c>
      <c r="M105" s="377">
        <f>(IF($S$3=1,J105/I105-1,K105/I105-1))</f>
        <v>8.2549795057984321E-2</v>
      </c>
      <c r="N105" s="377"/>
      <c r="P105" s="30"/>
      <c r="Q105" s="31">
        <f t="shared" si="16"/>
        <v>0</v>
      </c>
    </row>
    <row r="106" spans="1:17" ht="15" x14ac:dyDescent="0.25">
      <c r="A106" s="474" t="s">
        <v>258</v>
      </c>
      <c r="B106" s="482"/>
      <c r="C106" s="485"/>
      <c r="D106" s="486"/>
      <c r="E106" s="481"/>
      <c r="F106" s="481"/>
      <c r="G106" s="481"/>
      <c r="H106" s="481"/>
      <c r="I106" s="481"/>
      <c r="J106" s="539"/>
      <c r="K106" s="481"/>
      <c r="L106" s="481"/>
      <c r="M106" s="377"/>
      <c r="N106" s="377"/>
      <c r="P106" s="30"/>
      <c r="Q106" s="31">
        <f t="shared" si="16"/>
        <v>0</v>
      </c>
    </row>
    <row r="107" spans="1:17" x14ac:dyDescent="0.2">
      <c r="A107" s="25" t="s">
        <v>201</v>
      </c>
      <c r="B107" s="26" t="s">
        <v>202</v>
      </c>
      <c r="C107" s="393">
        <v>47393.69</v>
      </c>
      <c r="D107" s="396">
        <v>48578.53</v>
      </c>
      <c r="E107" s="27">
        <v>49792.99</v>
      </c>
      <c r="F107" s="27">
        <v>59792.2</v>
      </c>
      <c r="G107" s="27">
        <v>61287.01</v>
      </c>
      <c r="H107" s="7">
        <v>62819</v>
      </c>
      <c r="I107" s="27">
        <v>64389.39</v>
      </c>
      <c r="J107" s="7">
        <v>65999.124749999988</v>
      </c>
      <c r="K107" s="7">
        <v>65999.124749999988</v>
      </c>
      <c r="L107" s="376">
        <f>IF($S$3=1,J107-I107,K107-I107)</f>
        <v>1609.7347499999887</v>
      </c>
      <c r="M107" s="377">
        <f>(IF($S$3=1,J107/I107-1,K107/I107-1))</f>
        <v>2.4999999999999911E-2</v>
      </c>
      <c r="N107" s="377"/>
      <c r="P107" s="30"/>
      <c r="Q107" s="31">
        <f t="shared" si="16"/>
        <v>0</v>
      </c>
    </row>
    <row r="108" spans="1:17" ht="15" x14ac:dyDescent="0.25">
      <c r="A108" s="38"/>
      <c r="B108" s="43" t="s">
        <v>103</v>
      </c>
      <c r="C108" s="380">
        <v>47393.69</v>
      </c>
      <c r="D108" s="394">
        <v>48578.53</v>
      </c>
      <c r="E108" s="394">
        <v>49792.99</v>
      </c>
      <c r="F108" s="394">
        <v>59792.2</v>
      </c>
      <c r="G108" s="394">
        <v>61287.01</v>
      </c>
      <c r="H108" s="381">
        <v>62819</v>
      </c>
      <c r="I108" s="394">
        <v>64389.39</v>
      </c>
      <c r="J108" s="381">
        <f>SUM(J107)</f>
        <v>65999.124749999988</v>
      </c>
      <c r="K108" s="381">
        <f>SUM(K107)</f>
        <v>65999.124749999988</v>
      </c>
      <c r="L108" s="382">
        <f>IF($S$3=1,J108-I108,K108-I108)</f>
        <v>1609.7347499999887</v>
      </c>
      <c r="M108" s="377">
        <f>(IF($S$3=1,J108/I108-1,K108/I108-1))</f>
        <v>2.4999999999999911E-2</v>
      </c>
      <c r="N108" s="377"/>
      <c r="P108" s="30"/>
      <c r="Q108" s="31">
        <f t="shared" si="16"/>
        <v>0</v>
      </c>
    </row>
    <row r="109" spans="1:17" ht="15" x14ac:dyDescent="0.25">
      <c r="A109" s="474" t="s">
        <v>453</v>
      </c>
      <c r="B109" s="482"/>
      <c r="C109" s="485"/>
      <c r="D109" s="486"/>
      <c r="E109" s="481"/>
      <c r="F109" s="481"/>
      <c r="G109" s="481"/>
      <c r="H109" s="481"/>
      <c r="I109" s="481"/>
      <c r="J109" s="481"/>
      <c r="K109" s="481"/>
      <c r="L109" s="481"/>
      <c r="M109" s="377"/>
      <c r="N109" s="377"/>
      <c r="P109" s="30"/>
      <c r="Q109" s="31">
        <f t="shared" si="16"/>
        <v>0</v>
      </c>
    </row>
    <row r="110" spans="1:17" x14ac:dyDescent="0.2">
      <c r="A110" s="25" t="s">
        <v>203</v>
      </c>
      <c r="B110" s="26" t="s">
        <v>583</v>
      </c>
      <c r="C110" s="393">
        <v>100</v>
      </c>
      <c r="D110" s="396">
        <v>200</v>
      </c>
      <c r="E110" s="27">
        <v>200</v>
      </c>
      <c r="F110" s="27">
        <v>200</v>
      </c>
      <c r="G110" s="27">
        <v>200</v>
      </c>
      <c r="H110" s="7">
        <v>200</v>
      </c>
      <c r="I110" s="27">
        <v>200</v>
      </c>
      <c r="J110" s="113">
        <v>200</v>
      </c>
      <c r="K110" s="7">
        <v>200</v>
      </c>
      <c r="L110" s="376">
        <f>IF($S$3=1,J110-I110,K110-I110)</f>
        <v>0</v>
      </c>
      <c r="M110" s="377">
        <f>(IF($S$3=1,J110/I110-1,K110/I110-1))</f>
        <v>0</v>
      </c>
      <c r="N110" s="377"/>
      <c r="P110" s="30"/>
      <c r="Q110" s="31">
        <f t="shared" si="16"/>
        <v>0</v>
      </c>
    </row>
    <row r="111" spans="1:17" x14ac:dyDescent="0.2">
      <c r="A111" s="25" t="s">
        <v>442</v>
      </c>
      <c r="B111" s="26" t="s">
        <v>320</v>
      </c>
      <c r="C111" s="393"/>
      <c r="D111" s="396">
        <v>100</v>
      </c>
      <c r="E111" s="27">
        <v>100</v>
      </c>
      <c r="F111" s="27">
        <v>100</v>
      </c>
      <c r="G111" s="27">
        <v>100</v>
      </c>
      <c r="H111" s="7">
        <v>100</v>
      </c>
      <c r="I111" s="27">
        <v>100</v>
      </c>
      <c r="J111" s="113">
        <v>100</v>
      </c>
      <c r="K111" s="7">
        <v>100</v>
      </c>
      <c r="L111" s="376">
        <f>IF($S$3=1,J111-I111,K111-I111)</f>
        <v>0</v>
      </c>
      <c r="M111" s="377">
        <f>(IF($S$3=1,J111/I111-1,K111/I111-1))</f>
        <v>0</v>
      </c>
      <c r="N111" s="377"/>
      <c r="P111" s="30"/>
      <c r="Q111" s="31">
        <f t="shared" si="16"/>
        <v>0</v>
      </c>
    </row>
    <row r="112" spans="1:17" x14ac:dyDescent="0.2">
      <c r="A112" s="25" t="s">
        <v>204</v>
      </c>
      <c r="B112" s="26" t="s">
        <v>310</v>
      </c>
      <c r="C112" s="393">
        <v>1500</v>
      </c>
      <c r="D112" s="396">
        <v>1300</v>
      </c>
      <c r="E112" s="27">
        <v>1300</v>
      </c>
      <c r="F112" s="27">
        <v>1300</v>
      </c>
      <c r="G112" s="27">
        <v>1300</v>
      </c>
      <c r="H112" s="7">
        <v>1300</v>
      </c>
      <c r="I112" s="27">
        <v>1300</v>
      </c>
      <c r="J112" s="113">
        <v>1300</v>
      </c>
      <c r="K112" s="7">
        <v>1300</v>
      </c>
      <c r="L112" s="376">
        <f>IF($S$3=1,J112-I112,K112-I112)</f>
        <v>0</v>
      </c>
      <c r="M112" s="377">
        <f>(IF($S$3=1,J112/I112-1,K112/I112-1))</f>
        <v>0</v>
      </c>
      <c r="N112" s="377"/>
      <c r="P112" s="30"/>
      <c r="Q112" s="31">
        <f t="shared" si="16"/>
        <v>0</v>
      </c>
    </row>
    <row r="113" spans="1:17" ht="15" x14ac:dyDescent="0.25">
      <c r="A113" s="38"/>
      <c r="B113" s="43" t="s">
        <v>103</v>
      </c>
      <c r="C113" s="380">
        <v>1600</v>
      </c>
      <c r="D113" s="394">
        <v>1600</v>
      </c>
      <c r="E113" s="394">
        <v>1600</v>
      </c>
      <c r="F113" s="394">
        <v>1600</v>
      </c>
      <c r="G113" s="394">
        <v>1600</v>
      </c>
      <c r="H113" s="381">
        <v>1600</v>
      </c>
      <c r="I113" s="394">
        <v>1600</v>
      </c>
      <c r="J113" s="381">
        <f>SUM(J110:J112)</f>
        <v>1600</v>
      </c>
      <c r="K113" s="381">
        <f>SUM(K110:K112)</f>
        <v>1600</v>
      </c>
      <c r="L113" s="382">
        <f>IF($S$3=1,J113-I113,K113-I113)</f>
        <v>0</v>
      </c>
      <c r="M113" s="377">
        <f>(IF($S$3=1,J113/I113-1,K113/I113-1))</f>
        <v>0</v>
      </c>
      <c r="N113" s="377"/>
      <c r="P113" s="30"/>
      <c r="Q113" s="31">
        <f t="shared" si="16"/>
        <v>0</v>
      </c>
    </row>
    <row r="114" spans="1:17" ht="15" x14ac:dyDescent="0.25">
      <c r="A114" s="474" t="s">
        <v>522</v>
      </c>
      <c r="B114" s="482"/>
      <c r="C114" s="479"/>
      <c r="D114" s="480"/>
      <c r="E114" s="481"/>
      <c r="F114" s="481"/>
      <c r="G114" s="481"/>
      <c r="H114" s="481"/>
      <c r="I114" s="481"/>
      <c r="J114" s="481"/>
      <c r="K114" s="481"/>
      <c r="L114" s="481"/>
      <c r="M114" s="377"/>
      <c r="N114" s="377"/>
      <c r="P114" s="30"/>
      <c r="Q114" s="31">
        <f t="shared" si="16"/>
        <v>0</v>
      </c>
    </row>
    <row r="115" spans="1:17" x14ac:dyDescent="0.2">
      <c r="A115" s="25" t="s">
        <v>78</v>
      </c>
      <c r="B115" s="26" t="s">
        <v>79</v>
      </c>
      <c r="C115" s="376">
        <v>3013.2</v>
      </c>
      <c r="D115" s="27">
        <v>3073.4639999999999</v>
      </c>
      <c r="E115" s="27">
        <v>3111.88</v>
      </c>
      <c r="F115" s="27">
        <v>3150.78</v>
      </c>
      <c r="G115" s="27">
        <v>3213.8</v>
      </c>
      <c r="H115" s="7">
        <v>3270.04</v>
      </c>
      <c r="I115" s="27">
        <v>3368.14</v>
      </c>
      <c r="J115" s="7">
        <v>3469.18</v>
      </c>
      <c r="K115" s="7">
        <f t="shared" ref="K115" si="23">I115*1.02</f>
        <v>3435.5027999999998</v>
      </c>
      <c r="L115" s="376">
        <f>IF($S$3=1,J115-I115,K115-I115)</f>
        <v>67.362799999999879</v>
      </c>
      <c r="M115" s="377">
        <f>(IF($S$3=1,J115/I115-1,K115/I115-1))</f>
        <v>2.0000000000000018E-2</v>
      </c>
      <c r="N115" s="377"/>
      <c r="P115" s="30" t="s">
        <v>209</v>
      </c>
      <c r="Q115" s="31">
        <f t="shared" si="16"/>
        <v>65.400000000000006</v>
      </c>
    </row>
    <row r="116" spans="1:17" x14ac:dyDescent="0.2">
      <c r="A116" s="25" t="s">
        <v>81</v>
      </c>
      <c r="B116" s="26" t="s">
        <v>82</v>
      </c>
      <c r="C116" s="376">
        <v>300</v>
      </c>
      <c r="D116" s="27">
        <v>300</v>
      </c>
      <c r="E116" s="27">
        <v>300</v>
      </c>
      <c r="F116" s="27">
        <v>300</v>
      </c>
      <c r="G116" s="27">
        <v>500</v>
      </c>
      <c r="H116" s="7">
        <v>500</v>
      </c>
      <c r="I116" s="27">
        <v>500</v>
      </c>
      <c r="J116" s="7">
        <v>500</v>
      </c>
      <c r="K116" s="7">
        <v>500</v>
      </c>
      <c r="L116" s="376">
        <f>IF($S$3=1,J116-I116,K116-I116)</f>
        <v>0</v>
      </c>
      <c r="M116" s="377">
        <f>(IF($S$3=1,J116/I116-1,K116/I116-1))</f>
        <v>0</v>
      </c>
      <c r="N116" s="377"/>
      <c r="P116" s="30"/>
      <c r="Q116" s="31">
        <f t="shared" si="16"/>
        <v>0</v>
      </c>
    </row>
    <row r="117" spans="1:17" x14ac:dyDescent="0.2">
      <c r="A117" s="25" t="s">
        <v>277</v>
      </c>
      <c r="B117" s="26" t="s">
        <v>404</v>
      </c>
      <c r="C117" s="376">
        <v>800</v>
      </c>
      <c r="D117" s="27">
        <v>800</v>
      </c>
      <c r="E117" s="27">
        <v>800</v>
      </c>
      <c r="F117" s="27">
        <v>800</v>
      </c>
      <c r="G117" s="27">
        <v>800</v>
      </c>
      <c r="H117" s="7">
        <v>800</v>
      </c>
      <c r="I117" s="27">
        <v>0</v>
      </c>
      <c r="J117" s="7">
        <v>0</v>
      </c>
      <c r="K117" s="7">
        <v>0</v>
      </c>
      <c r="L117" s="376">
        <f>IF($S$3=1,J117-I117,K117-I117)</f>
        <v>0</v>
      </c>
      <c r="M117" s="377"/>
      <c r="N117" s="377"/>
      <c r="P117" s="30"/>
      <c r="Q117" s="31">
        <f t="shared" si="16"/>
        <v>0</v>
      </c>
    </row>
    <row r="118" spans="1:17" x14ac:dyDescent="0.2">
      <c r="A118" s="25" t="s">
        <v>278</v>
      </c>
      <c r="B118" s="26" t="s">
        <v>80</v>
      </c>
      <c r="C118" s="376">
        <v>400</v>
      </c>
      <c r="D118" s="27">
        <v>400</v>
      </c>
      <c r="E118" s="27">
        <v>400</v>
      </c>
      <c r="F118" s="27">
        <v>400</v>
      </c>
      <c r="G118" s="27">
        <v>800</v>
      </c>
      <c r="H118" s="7">
        <v>800</v>
      </c>
      <c r="I118" s="27">
        <v>1600</v>
      </c>
      <c r="J118" s="7">
        <v>1648</v>
      </c>
      <c r="K118" s="7">
        <v>1600</v>
      </c>
      <c r="L118" s="376">
        <f>IF($S$3=1,J118-I118,K118-I118)</f>
        <v>0</v>
      </c>
      <c r="M118" s="377">
        <f>(IF($S$3=1,J118/I118-1,K118/I118-1))</f>
        <v>0</v>
      </c>
      <c r="N118" s="377"/>
      <c r="P118" s="30"/>
      <c r="Q118" s="31">
        <f t="shared" si="16"/>
        <v>0</v>
      </c>
    </row>
    <row r="119" spans="1:17" ht="15" x14ac:dyDescent="0.25">
      <c r="A119" s="38"/>
      <c r="B119" s="43" t="s">
        <v>103</v>
      </c>
      <c r="C119" s="380">
        <v>4513.2</v>
      </c>
      <c r="D119" s="394">
        <v>4573.4639999999999</v>
      </c>
      <c r="E119" s="394">
        <v>4611.88</v>
      </c>
      <c r="F119" s="394">
        <v>4650.7800000000007</v>
      </c>
      <c r="G119" s="394">
        <v>5313.8</v>
      </c>
      <c r="H119" s="381">
        <v>5370.04</v>
      </c>
      <c r="I119" s="394">
        <v>5468.1399999999994</v>
      </c>
      <c r="J119" s="381">
        <f>SUM(J115:J118)</f>
        <v>5617.18</v>
      </c>
      <c r="K119" s="381">
        <f>SUM(K115:K118)</f>
        <v>5535.5028000000002</v>
      </c>
      <c r="L119" s="382">
        <f>IF($S$3=1,J119-I119,K119-I119)</f>
        <v>67.362800000000789</v>
      </c>
      <c r="M119" s="377">
        <f>(IF($S$3=1,J119/I119-1,K119/I119-1))</f>
        <v>1.2319143255293596E-2</v>
      </c>
      <c r="N119" s="377"/>
      <c r="P119" s="30"/>
      <c r="Q119" s="31">
        <f t="shared" si="16"/>
        <v>0</v>
      </c>
    </row>
    <row r="120" spans="1:17" ht="15" x14ac:dyDescent="0.25">
      <c r="A120" s="474" t="s">
        <v>254</v>
      </c>
      <c r="B120" s="482"/>
      <c r="C120" s="479"/>
      <c r="D120" s="480"/>
      <c r="E120" s="481"/>
      <c r="F120" s="481"/>
      <c r="G120" s="481"/>
      <c r="H120" s="481"/>
      <c r="I120" s="481"/>
      <c r="J120" s="481"/>
      <c r="K120" s="481"/>
      <c r="L120" s="481"/>
      <c r="M120" s="377"/>
      <c r="N120" s="377"/>
      <c r="P120" s="30"/>
      <c r="Q120" s="31">
        <f t="shared" si="16"/>
        <v>0</v>
      </c>
    </row>
    <row r="121" spans="1:17" x14ac:dyDescent="0.2">
      <c r="A121" s="51" t="s">
        <v>83</v>
      </c>
      <c r="B121" s="52" t="s">
        <v>84</v>
      </c>
      <c r="C121" s="376">
        <v>2500</v>
      </c>
      <c r="D121" s="27">
        <v>3500</v>
      </c>
      <c r="E121" s="27">
        <v>3500</v>
      </c>
      <c r="F121" s="27">
        <v>3500</v>
      </c>
      <c r="G121" s="27">
        <v>3500</v>
      </c>
      <c r="H121" s="7">
        <v>3500</v>
      </c>
      <c r="I121" s="27">
        <v>3500</v>
      </c>
      <c r="J121" s="113">
        <v>3500</v>
      </c>
      <c r="K121" s="7">
        <v>3500</v>
      </c>
      <c r="L121" s="376">
        <f>IF($S$3=1,J121-I121,K121-I121)</f>
        <v>0</v>
      </c>
      <c r="M121" s="377">
        <f>(IF($S$3=1,J121/I121-1,K121/I121-1))</f>
        <v>0</v>
      </c>
      <c r="N121" s="377"/>
      <c r="P121" s="30"/>
      <c r="Q121" s="31">
        <f t="shared" si="16"/>
        <v>0</v>
      </c>
    </row>
    <row r="122" spans="1:17" x14ac:dyDescent="0.2">
      <c r="A122" s="51" t="s">
        <v>443</v>
      </c>
      <c r="B122" s="52" t="s">
        <v>85</v>
      </c>
      <c r="C122" s="376">
        <v>500</v>
      </c>
      <c r="D122" s="27">
        <v>500</v>
      </c>
      <c r="E122" s="27">
        <v>500</v>
      </c>
      <c r="F122" s="27">
        <v>500</v>
      </c>
      <c r="G122" s="27">
        <v>500</v>
      </c>
      <c r="H122" s="7">
        <v>500</v>
      </c>
      <c r="I122" s="27">
        <v>500</v>
      </c>
      <c r="J122" s="113">
        <v>500</v>
      </c>
      <c r="K122" s="7">
        <v>500</v>
      </c>
      <c r="L122" s="376">
        <f>IF($S$3=1,J122-I122,K122-I122)</f>
        <v>0</v>
      </c>
      <c r="M122" s="377">
        <f>(IF($S$3=1,J122/I122-1,K122/I122-1))</f>
        <v>0</v>
      </c>
      <c r="N122" s="377"/>
      <c r="P122" s="30"/>
      <c r="Q122" s="31">
        <f t="shared" si="16"/>
        <v>0</v>
      </c>
    </row>
    <row r="123" spans="1:17" ht="15" x14ac:dyDescent="0.25">
      <c r="A123" s="38"/>
      <c r="B123" s="43" t="s">
        <v>103</v>
      </c>
      <c r="C123" s="380">
        <v>3000</v>
      </c>
      <c r="D123" s="394">
        <v>4000</v>
      </c>
      <c r="E123" s="394">
        <v>4000</v>
      </c>
      <c r="F123" s="394">
        <v>4000</v>
      </c>
      <c r="G123" s="394">
        <v>4000</v>
      </c>
      <c r="H123" s="381">
        <v>4000</v>
      </c>
      <c r="I123" s="394">
        <v>4000</v>
      </c>
      <c r="J123" s="381">
        <f>SUM(J121:J122)</f>
        <v>4000</v>
      </c>
      <c r="K123" s="381">
        <f>SUM(K121:K122)</f>
        <v>4000</v>
      </c>
      <c r="L123" s="382">
        <f>IF($S$3=1,J123-I123,K123-I123)</f>
        <v>0</v>
      </c>
      <c r="M123" s="377">
        <f>(IF($S$3=1,J123/I123-1,K123/I123-1))</f>
        <v>0</v>
      </c>
      <c r="N123" s="377"/>
      <c r="P123" s="30"/>
      <c r="Q123" s="31">
        <f t="shared" si="16"/>
        <v>0</v>
      </c>
    </row>
    <row r="124" spans="1:17" ht="15" x14ac:dyDescent="0.25">
      <c r="A124" s="474" t="s">
        <v>790</v>
      </c>
      <c r="B124" s="482"/>
      <c r="C124" s="479"/>
      <c r="D124" s="480"/>
      <c r="E124" s="481"/>
      <c r="F124" s="481"/>
      <c r="G124" s="481"/>
      <c r="H124" s="481"/>
      <c r="I124" s="481"/>
      <c r="J124" s="481"/>
      <c r="K124" s="481"/>
      <c r="L124" s="481"/>
      <c r="M124" s="383"/>
      <c r="N124" s="377"/>
      <c r="P124" s="30"/>
      <c r="Q124" s="31">
        <f t="shared" si="16"/>
        <v>0</v>
      </c>
    </row>
    <row r="125" spans="1:17" x14ac:dyDescent="0.2">
      <c r="A125" s="51" t="s">
        <v>480</v>
      </c>
      <c r="B125" s="52" t="s">
        <v>791</v>
      </c>
      <c r="C125" s="376">
        <v>0</v>
      </c>
      <c r="D125" s="27">
        <v>0</v>
      </c>
      <c r="E125" s="27">
        <v>1560</v>
      </c>
      <c r="F125" s="27">
        <v>1579.5</v>
      </c>
      <c r="G125" s="27">
        <v>1611.09</v>
      </c>
      <c r="H125" s="7">
        <v>1611.09</v>
      </c>
      <c r="I125" s="27">
        <v>1659.42</v>
      </c>
      <c r="J125" s="113">
        <v>1659.42</v>
      </c>
      <c r="K125" s="7">
        <f t="shared" ref="K125" si="24">I125*1.02</f>
        <v>1692.6084000000001</v>
      </c>
      <c r="L125" s="376">
        <f>IF($S$3=1,J125-I125,K125-I125)</f>
        <v>33.188400000000001</v>
      </c>
      <c r="M125" s="377">
        <f>(IF($S$3=1,J125/I125-1,K125/I125-1))</f>
        <v>2.0000000000000018E-2</v>
      </c>
      <c r="N125" s="377"/>
      <c r="P125" s="30" t="s">
        <v>209</v>
      </c>
      <c r="Q125" s="31">
        <f t="shared" si="16"/>
        <v>32.22</v>
      </c>
    </row>
    <row r="126" spans="1:17" x14ac:dyDescent="0.2">
      <c r="A126" s="51"/>
      <c r="B126" s="52"/>
      <c r="C126" s="376">
        <v>0</v>
      </c>
      <c r="D126" s="27">
        <v>0</v>
      </c>
      <c r="E126" s="27">
        <v>0</v>
      </c>
      <c r="F126" s="27"/>
      <c r="G126" s="27"/>
      <c r="H126" s="7"/>
      <c r="I126" s="27"/>
      <c r="J126" s="7"/>
      <c r="K126" s="7"/>
      <c r="L126" s="376">
        <f>IF($S$3=1,J126-I126,K126-I126)</f>
        <v>0</v>
      </c>
      <c r="M126" s="377"/>
      <c r="N126" s="377"/>
      <c r="P126" s="30"/>
      <c r="Q126" s="31">
        <f t="shared" si="16"/>
        <v>0</v>
      </c>
    </row>
    <row r="127" spans="1:17" ht="15" x14ac:dyDescent="0.25">
      <c r="A127" s="1"/>
      <c r="B127" s="43" t="s">
        <v>103</v>
      </c>
      <c r="C127" s="380">
        <v>0</v>
      </c>
      <c r="D127" s="394">
        <v>0</v>
      </c>
      <c r="E127" s="39">
        <v>1560</v>
      </c>
      <c r="F127" s="39">
        <v>1579.5</v>
      </c>
      <c r="G127" s="39">
        <v>1611.09</v>
      </c>
      <c r="H127" s="101">
        <v>1611.09</v>
      </c>
      <c r="I127" s="39">
        <v>1659.42</v>
      </c>
      <c r="J127" s="101">
        <f>SUM(J125:J126)</f>
        <v>1659.42</v>
      </c>
      <c r="K127" s="101">
        <f>SUM(K125:K126)</f>
        <v>1692.6084000000001</v>
      </c>
      <c r="L127" s="382">
        <f>IF($S$3=1,J127-I127,K127-I127)</f>
        <v>33.188400000000001</v>
      </c>
      <c r="M127" s="377">
        <f>(IF($S$3=1,J127/I127-1,K127/I127-1))</f>
        <v>2.0000000000000018E-2</v>
      </c>
      <c r="N127" s="377"/>
      <c r="P127" s="30"/>
      <c r="Q127" s="31">
        <f t="shared" si="16"/>
        <v>0</v>
      </c>
    </row>
    <row r="128" spans="1:17" ht="15" x14ac:dyDescent="0.25">
      <c r="A128" s="474" t="s">
        <v>255</v>
      </c>
      <c r="B128" s="482"/>
      <c r="C128" s="479"/>
      <c r="D128" s="480"/>
      <c r="E128" s="481"/>
      <c r="F128" s="481"/>
      <c r="G128" s="481"/>
      <c r="H128" s="481"/>
      <c r="I128" s="481"/>
      <c r="J128" s="481"/>
      <c r="K128" s="481"/>
      <c r="L128" s="481"/>
      <c r="M128" s="377"/>
      <c r="N128" s="377"/>
      <c r="P128" s="30"/>
      <c r="Q128" s="31">
        <f t="shared" si="16"/>
        <v>0</v>
      </c>
    </row>
    <row r="129" spans="1:18" x14ac:dyDescent="0.2">
      <c r="A129" s="25" t="s">
        <v>86</v>
      </c>
      <c r="B129" s="73" t="s">
        <v>4</v>
      </c>
      <c r="C129" s="376">
        <v>1122224</v>
      </c>
      <c r="D129" s="27">
        <v>1128780</v>
      </c>
      <c r="E129" s="27">
        <v>1150539</v>
      </c>
      <c r="F129" s="27">
        <v>1155233</v>
      </c>
      <c r="G129" s="27">
        <v>1165353</v>
      </c>
      <c r="H129" s="7">
        <v>1192372</v>
      </c>
      <c r="I129" s="27">
        <v>1248665</v>
      </c>
      <c r="J129" s="7">
        <v>1319786</v>
      </c>
      <c r="K129" s="7">
        <v>1319786</v>
      </c>
      <c r="L129" s="376">
        <f>IF($S$3=1,J129-I129,K129-I129)</f>
        <v>71121</v>
      </c>
      <c r="M129" s="377">
        <f>(IF($S$3=1,J129/I129-1,K129/I129-1))</f>
        <v>5.6957630749640664E-2</v>
      </c>
      <c r="N129" s="377"/>
      <c r="P129" s="30"/>
      <c r="Q129" s="31">
        <f t="shared" si="16"/>
        <v>0</v>
      </c>
    </row>
    <row r="130" spans="1:18" x14ac:dyDescent="0.2">
      <c r="A130" s="25" t="s">
        <v>86</v>
      </c>
      <c r="B130" s="73" t="s">
        <v>108</v>
      </c>
      <c r="C130" s="376">
        <v>245781</v>
      </c>
      <c r="D130" s="27">
        <v>337147</v>
      </c>
      <c r="E130" s="27">
        <v>327428</v>
      </c>
      <c r="F130" s="27">
        <v>381436</v>
      </c>
      <c r="G130" s="27">
        <v>393359</v>
      </c>
      <c r="H130" s="7">
        <v>323611</v>
      </c>
      <c r="I130" s="27">
        <v>326638</v>
      </c>
      <c r="J130" s="7">
        <v>299610</v>
      </c>
      <c r="K130" s="7">
        <v>299610</v>
      </c>
      <c r="L130" s="376">
        <f>IF($S$3=1,J130-I130,K130-I130)</f>
        <v>-27028</v>
      </c>
      <c r="M130" s="377">
        <f>(IF($S$3=1,J130/I130-1,K130/I130-1))</f>
        <v>-8.274603689711546E-2</v>
      </c>
      <c r="N130" s="377"/>
      <c r="P130" s="30"/>
      <c r="Q130" s="31">
        <f t="shared" si="16"/>
        <v>0</v>
      </c>
    </row>
    <row r="131" spans="1:18" x14ac:dyDescent="0.2">
      <c r="A131" s="25" t="s">
        <v>86</v>
      </c>
      <c r="B131" s="73" t="s">
        <v>118</v>
      </c>
      <c r="C131" s="376">
        <v>95340</v>
      </c>
      <c r="D131" s="27">
        <v>81508</v>
      </c>
      <c r="E131" s="27">
        <v>78903</v>
      </c>
      <c r="F131" s="27">
        <v>83050</v>
      </c>
      <c r="G131" s="27">
        <v>77961</v>
      </c>
      <c r="H131" s="7">
        <v>92090</v>
      </c>
      <c r="I131" s="27">
        <v>89162</v>
      </c>
      <c r="J131" s="7">
        <v>85174</v>
      </c>
      <c r="K131" s="7">
        <v>85174</v>
      </c>
      <c r="L131" s="376">
        <f>IF($S$3=1,J131-I131,K131-I131)</f>
        <v>-3988</v>
      </c>
      <c r="M131" s="377">
        <f>(IF($S$3=1,J131/I131-1,K131/I131-1))</f>
        <v>-4.4727574527264946E-2</v>
      </c>
      <c r="N131" s="377"/>
      <c r="P131" s="30"/>
      <c r="Q131" s="31">
        <f t="shared" si="16"/>
        <v>0</v>
      </c>
    </row>
    <row r="132" spans="1:18" x14ac:dyDescent="0.2">
      <c r="A132" s="51" t="s">
        <v>86</v>
      </c>
      <c r="B132" s="52" t="s">
        <v>119</v>
      </c>
      <c r="C132" s="392"/>
      <c r="D132" s="27">
        <v>-40000</v>
      </c>
      <c r="E132" s="27">
        <v>-40000</v>
      </c>
      <c r="F132" s="27">
        <v>-35000</v>
      </c>
      <c r="G132" s="27">
        <v>-10000</v>
      </c>
      <c r="H132" s="7">
        <v>0</v>
      </c>
      <c r="I132" s="27">
        <v>0</v>
      </c>
      <c r="J132" s="7"/>
      <c r="K132" s="7"/>
      <c r="L132" s="376">
        <f>IF($S$3=1,J132-I132,K132-I132)</f>
        <v>0</v>
      </c>
      <c r="M132" s="377"/>
      <c r="N132" s="377"/>
      <c r="P132" s="30"/>
      <c r="Q132" s="31">
        <f t="shared" si="16"/>
        <v>0</v>
      </c>
    </row>
    <row r="133" spans="1:18" ht="15" x14ac:dyDescent="0.25">
      <c r="A133" s="38" t="s">
        <v>86</v>
      </c>
      <c r="B133" s="43" t="s">
        <v>120</v>
      </c>
      <c r="C133" s="380">
        <v>1463345</v>
      </c>
      <c r="D133" s="394">
        <v>1507435</v>
      </c>
      <c r="E133" s="394">
        <v>1516870</v>
      </c>
      <c r="F133" s="394">
        <v>1584719</v>
      </c>
      <c r="G133" s="394">
        <v>1626673</v>
      </c>
      <c r="H133" s="381">
        <v>1608073</v>
      </c>
      <c r="I133" s="394">
        <v>1664465</v>
      </c>
      <c r="J133" s="381">
        <f>SUM(J129:J132)</f>
        <v>1704570</v>
      </c>
      <c r="K133" s="381">
        <f>SUM(K129:K132)</f>
        <v>1704570</v>
      </c>
      <c r="L133" s="382">
        <f>IF($S$3=1,J133-I133,K133-I133)</f>
        <v>40105</v>
      </c>
      <c r="M133" s="377">
        <f>(IF($S$3=1,J133/I133-1,K133/I133-1))</f>
        <v>2.4094829269464935E-2</v>
      </c>
      <c r="N133" s="377"/>
      <c r="P133" s="30"/>
      <c r="Q133" s="31">
        <f t="shared" si="16"/>
        <v>0</v>
      </c>
    </row>
    <row r="134" spans="1:18" ht="15" x14ac:dyDescent="0.25">
      <c r="A134" s="474" t="s">
        <v>256</v>
      </c>
      <c r="B134" s="482"/>
      <c r="C134" s="479"/>
      <c r="D134" s="480"/>
      <c r="E134" s="481"/>
      <c r="F134" s="481"/>
      <c r="G134" s="481"/>
      <c r="H134" s="481"/>
      <c r="I134" s="481"/>
      <c r="J134" s="481"/>
      <c r="K134" s="481"/>
      <c r="L134" s="481"/>
      <c r="M134" s="377"/>
      <c r="N134" s="377"/>
      <c r="P134" s="30"/>
      <c r="Q134" s="31">
        <f t="shared" si="16"/>
        <v>0</v>
      </c>
    </row>
    <row r="135" spans="1:18" x14ac:dyDescent="0.2">
      <c r="A135" s="51" t="s">
        <v>121</v>
      </c>
      <c r="B135" s="52" t="s">
        <v>122</v>
      </c>
      <c r="C135" s="376">
        <v>653248</v>
      </c>
      <c r="D135" s="27">
        <v>709028</v>
      </c>
      <c r="E135" s="27">
        <v>729112</v>
      </c>
      <c r="F135" s="27">
        <v>681313</v>
      </c>
      <c r="G135" s="27">
        <v>697050</v>
      </c>
      <c r="H135" s="7">
        <v>746314</v>
      </c>
      <c r="I135" s="27">
        <v>784300</v>
      </c>
      <c r="J135" s="7">
        <v>777598</v>
      </c>
      <c r="K135" s="7">
        <v>777598</v>
      </c>
      <c r="L135" s="376">
        <f t="shared" ref="L135:L141" si="25">IF($S$3=1,J135-I135,K135-I135)</f>
        <v>-6702</v>
      </c>
      <c r="M135" s="377">
        <f>(IF($S$3=1,J135/I135-1,K135/I135-1))</f>
        <v>-8.5451995409919768E-3</v>
      </c>
      <c r="N135" s="377"/>
      <c r="P135" s="30"/>
      <c r="Q135" s="31">
        <f t="shared" si="16"/>
        <v>0</v>
      </c>
    </row>
    <row r="136" spans="1:18" x14ac:dyDescent="0.2">
      <c r="A136" s="51" t="s">
        <v>125</v>
      </c>
      <c r="B136" s="52" t="s">
        <v>126</v>
      </c>
      <c r="C136" s="376">
        <v>40341</v>
      </c>
      <c r="D136" s="27">
        <v>46020</v>
      </c>
      <c r="E136" s="27">
        <v>31212</v>
      </c>
      <c r="F136" s="27">
        <v>17840</v>
      </c>
      <c r="G136" s="27">
        <v>7891</v>
      </c>
      <c r="H136" s="7">
        <v>0</v>
      </c>
      <c r="I136" s="27"/>
      <c r="J136" s="7"/>
      <c r="K136" s="7"/>
      <c r="L136" s="376">
        <f t="shared" si="25"/>
        <v>0</v>
      </c>
      <c r="M136" s="377"/>
      <c r="N136" s="377"/>
      <c r="P136" s="30"/>
      <c r="Q136" s="31">
        <f t="shared" si="16"/>
        <v>0</v>
      </c>
    </row>
    <row r="137" spans="1:18" x14ac:dyDescent="0.2">
      <c r="A137" s="51" t="s">
        <v>127</v>
      </c>
      <c r="B137" s="52" t="s">
        <v>128</v>
      </c>
      <c r="C137" s="376">
        <v>53767</v>
      </c>
      <c r="D137" s="27">
        <v>300</v>
      </c>
      <c r="E137" s="27">
        <v>300</v>
      </c>
      <c r="F137" s="27">
        <v>300</v>
      </c>
      <c r="G137" s="27">
        <v>500</v>
      </c>
      <c r="H137" s="7">
        <v>500</v>
      </c>
      <c r="I137" s="27">
        <v>500</v>
      </c>
      <c r="J137" s="7">
        <v>500</v>
      </c>
      <c r="K137" s="7">
        <v>500</v>
      </c>
      <c r="L137" s="376">
        <f t="shared" si="25"/>
        <v>0</v>
      </c>
      <c r="M137" s="377">
        <f>(IF($S$3=1,J137/I137-1,K137/I137-1))</f>
        <v>0</v>
      </c>
      <c r="N137" s="377"/>
      <c r="P137" s="30"/>
      <c r="Q137" s="31">
        <f t="shared" ref="Q137:Q205" si="26">ROUND(IF(P137="Y",H137*$S$1,0),2)</f>
        <v>0</v>
      </c>
    </row>
    <row r="138" spans="1:18" x14ac:dyDescent="0.2">
      <c r="A138" s="51" t="s">
        <v>129</v>
      </c>
      <c r="B138" s="52" t="s">
        <v>130</v>
      </c>
      <c r="C138" s="376">
        <v>300</v>
      </c>
      <c r="D138" s="27">
        <v>100</v>
      </c>
      <c r="E138" s="27">
        <v>100</v>
      </c>
      <c r="F138" s="27">
        <v>100</v>
      </c>
      <c r="G138" s="27">
        <v>100</v>
      </c>
      <c r="H138" s="7">
        <v>100</v>
      </c>
      <c r="I138" s="27">
        <v>100</v>
      </c>
      <c r="J138" s="7">
        <v>100</v>
      </c>
      <c r="K138" s="7">
        <v>100</v>
      </c>
      <c r="L138" s="376">
        <f t="shared" si="25"/>
        <v>0</v>
      </c>
      <c r="M138" s="377">
        <f>(IF($S$3=1,J138/I138-1,K138/I138-1))</f>
        <v>0</v>
      </c>
      <c r="N138" s="377"/>
      <c r="P138" s="30"/>
      <c r="Q138" s="31">
        <f t="shared" si="26"/>
        <v>0</v>
      </c>
    </row>
    <row r="139" spans="1:18" x14ac:dyDescent="0.2">
      <c r="A139" s="51" t="s">
        <v>123</v>
      </c>
      <c r="B139" s="111" t="s">
        <v>124</v>
      </c>
      <c r="C139" s="376">
        <v>100</v>
      </c>
      <c r="D139" s="27">
        <v>43464</v>
      </c>
      <c r="E139" s="27">
        <v>47087</v>
      </c>
      <c r="F139" s="27">
        <v>46506</v>
      </c>
      <c r="G139" s="27">
        <v>56142</v>
      </c>
      <c r="H139" s="7">
        <v>45537</v>
      </c>
      <c r="I139" s="27">
        <v>43300</v>
      </c>
      <c r="J139" s="7">
        <v>40164</v>
      </c>
      <c r="K139" s="7">
        <v>40164</v>
      </c>
      <c r="L139" s="376">
        <f t="shared" si="25"/>
        <v>-3136</v>
      </c>
      <c r="M139" s="377">
        <f>(IF($S$3=1,J139/I139-1,K139/I139-1))</f>
        <v>-7.2424942263279446E-2</v>
      </c>
      <c r="N139" s="377"/>
      <c r="P139" s="30"/>
      <c r="Q139" s="31">
        <f t="shared" si="26"/>
        <v>0</v>
      </c>
    </row>
    <row r="140" spans="1:18" ht="15" x14ac:dyDescent="0.25">
      <c r="A140" s="38"/>
      <c r="B140" s="43" t="s">
        <v>492</v>
      </c>
      <c r="C140" s="380">
        <v>747756</v>
      </c>
      <c r="D140" s="394">
        <v>798912</v>
      </c>
      <c r="E140" s="394">
        <v>807811</v>
      </c>
      <c r="F140" s="394">
        <v>746059</v>
      </c>
      <c r="G140" s="394">
        <v>761683</v>
      </c>
      <c r="H140" s="381">
        <v>792451</v>
      </c>
      <c r="I140" s="394">
        <v>828200</v>
      </c>
      <c r="J140" s="381">
        <f>SUM(J135:J139)</f>
        <v>818362</v>
      </c>
      <c r="K140" s="381">
        <f>SUM(K135:K139)</f>
        <v>818362</v>
      </c>
      <c r="L140" s="382">
        <f t="shared" si="25"/>
        <v>-9838</v>
      </c>
      <c r="M140" s="377">
        <f>(IF($S$3=1,J140/I140-1,K140/I140-1))</f>
        <v>-1.1878773243177987E-2</v>
      </c>
      <c r="N140" s="377"/>
      <c r="P140" s="30"/>
      <c r="Q140" s="31">
        <f t="shared" si="26"/>
        <v>0</v>
      </c>
    </row>
    <row r="141" spans="1:18" ht="15" x14ac:dyDescent="0.25">
      <c r="A141" s="38"/>
      <c r="B141" s="484" t="s">
        <v>131</v>
      </c>
      <c r="C141" s="380">
        <v>2211101</v>
      </c>
      <c r="D141" s="394">
        <v>2306347</v>
      </c>
      <c r="E141" s="394">
        <v>2324681</v>
      </c>
      <c r="F141" s="394">
        <v>2330778</v>
      </c>
      <c r="G141" s="394">
        <v>2388356</v>
      </c>
      <c r="H141" s="381">
        <v>2400524</v>
      </c>
      <c r="I141" s="394">
        <v>2492665</v>
      </c>
      <c r="J141" s="381">
        <f>J133+J140</f>
        <v>2522932</v>
      </c>
      <c r="K141" s="381">
        <f>K133+K140</f>
        <v>2522932</v>
      </c>
      <c r="L141" s="382">
        <f t="shared" si="25"/>
        <v>30267</v>
      </c>
      <c r="M141" s="377">
        <f>(IF($S$3=1,J141/I141-1,K141/I141-1))</f>
        <v>1.2142425877524676E-2</v>
      </c>
      <c r="N141" s="377"/>
      <c r="P141" s="30"/>
      <c r="Q141" s="31">
        <f t="shared" si="26"/>
        <v>0</v>
      </c>
    </row>
    <row r="142" spans="1:18" ht="15" x14ac:dyDescent="0.25">
      <c r="A142" s="38"/>
      <c r="B142" s="43"/>
      <c r="C142" s="395"/>
      <c r="D142" s="395"/>
      <c r="E142" s="39"/>
      <c r="F142" s="39"/>
      <c r="G142" s="39"/>
      <c r="H142" s="101"/>
      <c r="I142" s="39"/>
      <c r="J142" s="101"/>
      <c r="K142" s="101"/>
      <c r="L142" s="376"/>
      <c r="M142" s="377"/>
      <c r="N142" s="377"/>
      <c r="P142" s="30"/>
      <c r="Q142" s="31">
        <f t="shared" si="26"/>
        <v>0</v>
      </c>
    </row>
    <row r="143" spans="1:18" ht="15" x14ac:dyDescent="0.25">
      <c r="A143" s="474" t="s">
        <v>297</v>
      </c>
      <c r="B143" s="482"/>
      <c r="C143" s="479"/>
      <c r="D143" s="480"/>
      <c r="E143" s="481"/>
      <c r="F143" s="481"/>
      <c r="G143" s="481"/>
      <c r="H143" s="481"/>
      <c r="I143" s="481"/>
      <c r="J143" s="481"/>
      <c r="K143" s="481"/>
      <c r="L143" s="481"/>
      <c r="M143" s="377"/>
      <c r="N143" s="377"/>
      <c r="P143" s="30"/>
      <c r="Q143" s="31">
        <f t="shared" si="26"/>
        <v>0</v>
      </c>
    </row>
    <row r="144" spans="1:18" x14ac:dyDescent="0.2">
      <c r="A144" s="25" t="s">
        <v>134</v>
      </c>
      <c r="B144" s="26" t="s">
        <v>135</v>
      </c>
      <c r="C144" s="376">
        <v>82293.19</v>
      </c>
      <c r="D144" s="27">
        <v>82293.19</v>
      </c>
      <c r="E144" s="27">
        <v>83321.850000000006</v>
      </c>
      <c r="F144" s="27">
        <v>84363.37</v>
      </c>
      <c r="G144" s="27">
        <v>86050.64</v>
      </c>
      <c r="H144" s="7">
        <v>87556.52</v>
      </c>
      <c r="I144" s="27">
        <v>89088.75</v>
      </c>
      <c r="J144" s="7">
        <v>90870.56</v>
      </c>
      <c r="K144" s="7">
        <v>90870.56</v>
      </c>
      <c r="L144" s="376">
        <f t="shared" ref="L144:L160" si="27">IF($S$3=1,J144-I144,K144-I144)</f>
        <v>1781.8099999999977</v>
      </c>
      <c r="M144" s="377">
        <f t="shared" ref="M144:M157" si="28">(IF($S$3=1,J144/I144-1,K144/I144-1))</f>
        <v>2.0000392866663885E-2</v>
      </c>
      <c r="N144" s="377"/>
      <c r="P144" s="30" t="s">
        <v>401</v>
      </c>
      <c r="Q144" s="31">
        <f t="shared" si="26"/>
        <v>0</v>
      </c>
      <c r="R144" s="184"/>
    </row>
    <row r="145" spans="1:18" x14ac:dyDescent="0.2">
      <c r="A145" s="25" t="s">
        <v>501</v>
      </c>
      <c r="B145" s="26" t="s">
        <v>745</v>
      </c>
      <c r="C145" s="376">
        <v>0</v>
      </c>
      <c r="D145" s="27">
        <v>0</v>
      </c>
      <c r="E145" s="27">
        <v>13440</v>
      </c>
      <c r="F145" s="27">
        <v>13608</v>
      </c>
      <c r="G145" s="27">
        <v>13880.16</v>
      </c>
      <c r="H145" s="7">
        <v>13880.16</v>
      </c>
      <c r="I145" s="27">
        <v>13880.16</v>
      </c>
      <c r="J145" s="7">
        <v>27760.32</v>
      </c>
      <c r="K145" s="7">
        <v>13880.16</v>
      </c>
      <c r="L145" s="376">
        <f t="shared" si="27"/>
        <v>0</v>
      </c>
      <c r="M145" s="377">
        <f t="shared" si="28"/>
        <v>0</v>
      </c>
      <c r="N145" s="377"/>
      <c r="P145" s="30" t="s">
        <v>401</v>
      </c>
      <c r="Q145" s="31">
        <f t="shared" si="26"/>
        <v>0</v>
      </c>
      <c r="R145" s="185"/>
    </row>
    <row r="146" spans="1:18" x14ac:dyDescent="0.2">
      <c r="A146" s="25" t="s">
        <v>136</v>
      </c>
      <c r="B146" s="26" t="s">
        <v>137</v>
      </c>
      <c r="C146" s="376">
        <v>53816.160000000003</v>
      </c>
      <c r="D146" s="27">
        <v>48000</v>
      </c>
      <c r="E146" s="27">
        <v>48600</v>
      </c>
      <c r="F146" s="27">
        <v>51030</v>
      </c>
      <c r="G146" s="27">
        <v>52050.6</v>
      </c>
      <c r="H146" s="7">
        <v>52961.49</v>
      </c>
      <c r="I146" s="27">
        <v>54550.33</v>
      </c>
      <c r="J146" s="7">
        <v>55641.33</v>
      </c>
      <c r="K146" s="7">
        <v>55641.33</v>
      </c>
      <c r="L146" s="376">
        <f t="shared" si="27"/>
        <v>1091</v>
      </c>
      <c r="M146" s="377">
        <f t="shared" si="28"/>
        <v>1.9999879010814459E-2</v>
      </c>
      <c r="N146" s="377"/>
      <c r="P146" s="30" t="s">
        <v>209</v>
      </c>
      <c r="Q146" s="31">
        <f t="shared" si="26"/>
        <v>1059.23</v>
      </c>
      <c r="R146" s="185"/>
    </row>
    <row r="147" spans="1:18" x14ac:dyDescent="0.2">
      <c r="A147" s="25" t="s">
        <v>143</v>
      </c>
      <c r="B147" s="26" t="s">
        <v>144</v>
      </c>
      <c r="C147" s="376">
        <v>6700</v>
      </c>
      <c r="D147" s="27">
        <v>6700</v>
      </c>
      <c r="E147" s="27">
        <v>6700</v>
      </c>
      <c r="F147" s="27">
        <v>6700</v>
      </c>
      <c r="G147" s="27">
        <v>16700</v>
      </c>
      <c r="H147" s="7">
        <v>16700</v>
      </c>
      <c r="I147" s="27">
        <v>16700</v>
      </c>
      <c r="J147" s="581" t="s">
        <v>889</v>
      </c>
      <c r="K147" s="7"/>
      <c r="L147" s="376"/>
      <c r="M147" s="377"/>
      <c r="N147" s="377"/>
      <c r="P147" s="30"/>
      <c r="Q147" s="31">
        <f t="shared" si="26"/>
        <v>0</v>
      </c>
    </row>
    <row r="148" spans="1:18" x14ac:dyDescent="0.2">
      <c r="A148" s="32" t="s">
        <v>138</v>
      </c>
      <c r="B148" s="33" t="s">
        <v>139</v>
      </c>
      <c r="C148" s="388">
        <v>14000</v>
      </c>
      <c r="D148" s="34">
        <v>14000</v>
      </c>
      <c r="E148" s="34">
        <v>14000</v>
      </c>
      <c r="F148" s="34">
        <v>16000</v>
      </c>
      <c r="G148" s="34">
        <v>16000</v>
      </c>
      <c r="H148" s="100">
        <v>16000</v>
      </c>
      <c r="I148" s="34">
        <v>16000</v>
      </c>
      <c r="J148" s="100">
        <v>16000</v>
      </c>
      <c r="K148" s="100">
        <v>16000</v>
      </c>
      <c r="L148" s="376">
        <f t="shared" si="27"/>
        <v>0</v>
      </c>
      <c r="M148" s="377">
        <f t="shared" si="28"/>
        <v>0</v>
      </c>
      <c r="N148" s="377"/>
      <c r="P148" s="30"/>
      <c r="Q148" s="31">
        <f t="shared" si="26"/>
        <v>0</v>
      </c>
    </row>
    <row r="149" spans="1:18" x14ac:dyDescent="0.2">
      <c r="A149" s="25" t="s">
        <v>280</v>
      </c>
      <c r="B149" s="26" t="s">
        <v>14</v>
      </c>
      <c r="C149" s="376">
        <v>2000</v>
      </c>
      <c r="D149" s="27">
        <v>2000</v>
      </c>
      <c r="E149" s="27">
        <v>3000</v>
      </c>
      <c r="F149" s="27">
        <v>3000</v>
      </c>
      <c r="G149" s="27">
        <v>3000</v>
      </c>
      <c r="H149" s="7">
        <v>3000</v>
      </c>
      <c r="I149" s="27">
        <v>3000</v>
      </c>
      <c r="J149" s="7">
        <v>3000</v>
      </c>
      <c r="K149" s="7">
        <v>3000</v>
      </c>
      <c r="L149" s="376">
        <f t="shared" si="27"/>
        <v>0</v>
      </c>
      <c r="M149" s="377">
        <f t="shared" si="28"/>
        <v>0</v>
      </c>
      <c r="N149" s="377"/>
      <c r="P149" s="30"/>
      <c r="Q149" s="31">
        <f t="shared" si="26"/>
        <v>0</v>
      </c>
    </row>
    <row r="150" spans="1:18" x14ac:dyDescent="0.2">
      <c r="A150" s="25" t="s">
        <v>133</v>
      </c>
      <c r="B150" s="26" t="s">
        <v>17</v>
      </c>
      <c r="C150" s="376">
        <v>12500</v>
      </c>
      <c r="D150" s="27">
        <v>12500</v>
      </c>
      <c r="E150" s="27">
        <v>16000</v>
      </c>
      <c r="F150" s="27">
        <v>16900</v>
      </c>
      <c r="G150" s="27">
        <v>17500</v>
      </c>
      <c r="H150" s="7">
        <v>18000</v>
      </c>
      <c r="I150" s="27">
        <v>18000</v>
      </c>
      <c r="J150" s="7">
        <v>18000</v>
      </c>
      <c r="K150" s="7">
        <v>18000</v>
      </c>
      <c r="L150" s="376">
        <f t="shared" si="27"/>
        <v>0</v>
      </c>
      <c r="M150" s="377">
        <f t="shared" si="28"/>
        <v>0</v>
      </c>
      <c r="N150" s="377"/>
      <c r="P150" s="30"/>
      <c r="Q150" s="31">
        <f t="shared" si="26"/>
        <v>0</v>
      </c>
    </row>
    <row r="151" spans="1:18" x14ac:dyDescent="0.2">
      <c r="A151" s="25" t="s">
        <v>671</v>
      </c>
      <c r="B151" s="26" t="s">
        <v>656</v>
      </c>
      <c r="C151" s="376"/>
      <c r="D151" s="27">
        <v>0</v>
      </c>
      <c r="E151" s="27">
        <v>0</v>
      </c>
      <c r="F151" s="27">
        <v>0</v>
      </c>
      <c r="G151" s="27">
        <v>3120</v>
      </c>
      <c r="H151" s="7">
        <v>4992</v>
      </c>
      <c r="I151" s="27">
        <v>5141.76</v>
      </c>
      <c r="J151" s="7">
        <v>5231.74</v>
      </c>
      <c r="K151" s="7">
        <f t="shared" ref="K151" si="29">I151*1.02</f>
        <v>5244.5952000000007</v>
      </c>
      <c r="L151" s="376">
        <f t="shared" si="27"/>
        <v>102.83520000000044</v>
      </c>
      <c r="M151" s="377">
        <f t="shared" si="28"/>
        <v>2.0000000000000018E-2</v>
      </c>
      <c r="N151" s="377"/>
      <c r="P151" s="30" t="s">
        <v>209</v>
      </c>
      <c r="Q151" s="31">
        <f t="shared" si="26"/>
        <v>99.84</v>
      </c>
    </row>
    <row r="152" spans="1:18" x14ac:dyDescent="0.2">
      <c r="A152" s="32" t="s">
        <v>145</v>
      </c>
      <c r="B152" s="37" t="s">
        <v>146</v>
      </c>
      <c r="C152" s="388">
        <v>27640</v>
      </c>
      <c r="D152" s="34">
        <v>27640</v>
      </c>
      <c r="E152" s="34">
        <v>27640</v>
      </c>
      <c r="F152" s="34">
        <v>27640</v>
      </c>
      <c r="G152" s="34">
        <v>27640</v>
      </c>
      <c r="H152" s="100">
        <v>32640</v>
      </c>
      <c r="I152" s="34">
        <v>32640</v>
      </c>
      <c r="J152" s="582" t="s">
        <v>889</v>
      </c>
      <c r="K152" s="100"/>
      <c r="L152" s="376"/>
      <c r="M152" s="377"/>
      <c r="N152" s="377"/>
      <c r="P152" s="30"/>
      <c r="Q152" s="31">
        <f t="shared" si="26"/>
        <v>0</v>
      </c>
    </row>
    <row r="153" spans="1:18" x14ac:dyDescent="0.2">
      <c r="A153" s="25" t="s">
        <v>140</v>
      </c>
      <c r="B153" s="73" t="s">
        <v>13</v>
      </c>
      <c r="C153" s="376">
        <v>12000</v>
      </c>
      <c r="D153" s="27">
        <v>12000</v>
      </c>
      <c r="E153" s="27">
        <v>12000</v>
      </c>
      <c r="F153" s="27">
        <v>14000</v>
      </c>
      <c r="G153" s="27">
        <v>16000</v>
      </c>
      <c r="H153" s="7">
        <v>17000</v>
      </c>
      <c r="I153" s="27">
        <v>17000</v>
      </c>
      <c r="J153" s="7">
        <v>25000</v>
      </c>
      <c r="K153" s="7">
        <v>25000</v>
      </c>
      <c r="L153" s="376">
        <f t="shared" si="27"/>
        <v>8000</v>
      </c>
      <c r="M153" s="377">
        <f t="shared" si="28"/>
        <v>0.47058823529411775</v>
      </c>
      <c r="N153" s="377"/>
      <c r="P153" s="30"/>
      <c r="Q153" s="31">
        <f t="shared" si="26"/>
        <v>0</v>
      </c>
    </row>
    <row r="154" spans="1:18" x14ac:dyDescent="0.2">
      <c r="A154" s="25" t="s">
        <v>133</v>
      </c>
      <c r="B154" s="73" t="s">
        <v>810</v>
      </c>
      <c r="C154" s="376"/>
      <c r="D154" s="27"/>
      <c r="E154" s="27">
        <v>0</v>
      </c>
      <c r="F154" s="27">
        <v>0</v>
      </c>
      <c r="G154" s="27">
        <v>0</v>
      </c>
      <c r="H154" s="7">
        <v>750</v>
      </c>
      <c r="I154" s="27">
        <v>1000</v>
      </c>
      <c r="J154" s="7">
        <v>850</v>
      </c>
      <c r="K154" s="7">
        <v>850</v>
      </c>
      <c r="L154" s="376">
        <f t="shared" si="27"/>
        <v>-150</v>
      </c>
      <c r="M154" s="377">
        <f t="shared" si="28"/>
        <v>-0.15000000000000002</v>
      </c>
      <c r="N154" s="377"/>
      <c r="P154" s="30"/>
      <c r="Q154" s="31">
        <f t="shared" si="26"/>
        <v>0</v>
      </c>
    </row>
    <row r="155" spans="1:18" x14ac:dyDescent="0.2">
      <c r="A155" s="25" t="s">
        <v>133</v>
      </c>
      <c r="B155" s="73" t="s">
        <v>796</v>
      </c>
      <c r="C155" s="376"/>
      <c r="D155" s="27"/>
      <c r="E155" s="27">
        <v>0</v>
      </c>
      <c r="F155" s="27">
        <v>0</v>
      </c>
      <c r="G155" s="27">
        <v>0</v>
      </c>
      <c r="H155" s="7">
        <v>867.2</v>
      </c>
      <c r="I155" s="27">
        <v>882.37</v>
      </c>
      <c r="J155" s="7">
        <v>882.37</v>
      </c>
      <c r="K155" s="7">
        <v>882.37</v>
      </c>
      <c r="L155" s="376">
        <f t="shared" si="27"/>
        <v>0</v>
      </c>
      <c r="M155" s="377">
        <f t="shared" si="28"/>
        <v>0</v>
      </c>
      <c r="N155" s="377"/>
      <c r="P155" s="30"/>
      <c r="Q155" s="31">
        <f t="shared" si="26"/>
        <v>0</v>
      </c>
    </row>
    <row r="156" spans="1:18" x14ac:dyDescent="0.2">
      <c r="A156" s="25" t="s">
        <v>133</v>
      </c>
      <c r="B156" s="73" t="s">
        <v>797</v>
      </c>
      <c r="C156" s="376"/>
      <c r="D156" s="27"/>
      <c r="E156" s="27">
        <v>0</v>
      </c>
      <c r="F156" s="27">
        <v>0</v>
      </c>
      <c r="G156" s="27">
        <v>0</v>
      </c>
      <c r="H156" s="7">
        <v>300</v>
      </c>
      <c r="I156" s="27">
        <v>800</v>
      </c>
      <c r="J156" s="7">
        <v>800</v>
      </c>
      <c r="K156" s="7">
        <v>800</v>
      </c>
      <c r="L156" s="376">
        <f t="shared" si="27"/>
        <v>0</v>
      </c>
      <c r="M156" s="377">
        <f t="shared" si="28"/>
        <v>0</v>
      </c>
      <c r="N156" s="377"/>
      <c r="P156" s="30"/>
      <c r="Q156" s="31">
        <f t="shared" si="26"/>
        <v>0</v>
      </c>
    </row>
    <row r="157" spans="1:18" x14ac:dyDescent="0.2">
      <c r="A157" s="25" t="s">
        <v>133</v>
      </c>
      <c r="B157" s="73" t="s">
        <v>798</v>
      </c>
      <c r="C157" s="376"/>
      <c r="D157" s="27"/>
      <c r="E157" s="27"/>
      <c r="F157" s="27">
        <v>0</v>
      </c>
      <c r="G157" s="27">
        <v>0</v>
      </c>
      <c r="H157" s="7">
        <v>850</v>
      </c>
      <c r="I157" s="27">
        <v>850</v>
      </c>
      <c r="J157" s="7">
        <v>850</v>
      </c>
      <c r="K157" s="7">
        <v>850</v>
      </c>
      <c r="L157" s="376">
        <f t="shared" si="27"/>
        <v>0</v>
      </c>
      <c r="M157" s="377">
        <f t="shared" si="28"/>
        <v>0</v>
      </c>
      <c r="N157" s="377"/>
      <c r="P157" s="30"/>
      <c r="Q157" s="31">
        <f t="shared" si="26"/>
        <v>0</v>
      </c>
    </row>
    <row r="158" spans="1:18" x14ac:dyDescent="0.2">
      <c r="A158" s="25"/>
      <c r="B158" s="557" t="s">
        <v>843</v>
      </c>
      <c r="C158" s="376"/>
      <c r="D158" s="27"/>
      <c r="E158" s="27">
        <v>0</v>
      </c>
      <c r="F158" s="27">
        <v>0</v>
      </c>
      <c r="G158" s="27">
        <v>0</v>
      </c>
      <c r="H158" s="7">
        <v>0</v>
      </c>
      <c r="I158" s="27">
        <v>500</v>
      </c>
      <c r="J158" s="7">
        <v>500</v>
      </c>
      <c r="K158" s="7">
        <v>500</v>
      </c>
      <c r="L158" s="376">
        <f t="shared" ref="L158" si="30">IF($S$3=1,J158-I158,K158-I158)</f>
        <v>0</v>
      </c>
      <c r="M158" s="377">
        <f>(IF($S$3=1,J158/I158-1,K158/I158-1))</f>
        <v>0</v>
      </c>
      <c r="N158" s="377"/>
      <c r="P158" s="30"/>
      <c r="Q158" s="31"/>
    </row>
    <row r="159" spans="1:18" x14ac:dyDescent="0.2">
      <c r="A159" s="25"/>
      <c r="B159" s="73" t="s">
        <v>883</v>
      </c>
      <c r="C159" s="376"/>
      <c r="D159" s="27"/>
      <c r="E159" s="27">
        <v>0</v>
      </c>
      <c r="F159" s="27">
        <v>0</v>
      </c>
      <c r="G159" s="27">
        <v>0</v>
      </c>
      <c r="H159" s="7">
        <v>0</v>
      </c>
      <c r="I159" s="27">
        <v>0</v>
      </c>
      <c r="J159" s="7">
        <v>5000</v>
      </c>
      <c r="K159" s="7"/>
      <c r="L159" s="376">
        <f t="shared" si="27"/>
        <v>0</v>
      </c>
      <c r="M159" s="377"/>
      <c r="N159" s="377"/>
      <c r="P159" s="30"/>
      <c r="Q159" s="31">
        <f t="shared" si="26"/>
        <v>0</v>
      </c>
    </row>
    <row r="160" spans="1:18" ht="15" x14ac:dyDescent="0.25">
      <c r="A160" s="1"/>
      <c r="B160" s="43" t="s">
        <v>103</v>
      </c>
      <c r="C160" s="380">
        <v>218885.2</v>
      </c>
      <c r="D160" s="394">
        <v>205133.19</v>
      </c>
      <c r="E160" s="394">
        <v>225601.85</v>
      </c>
      <c r="F160" s="394">
        <v>233241.37</v>
      </c>
      <c r="G160" s="394">
        <v>251941.4</v>
      </c>
      <c r="H160" s="575">
        <v>265497.37000000005</v>
      </c>
      <c r="I160" s="394">
        <v>270033.37</v>
      </c>
      <c r="J160" s="381">
        <f>SUM(J144:J159)</f>
        <v>250386.32</v>
      </c>
      <c r="K160" s="381">
        <f>SUM(K144:K159)</f>
        <v>231519.01519999999</v>
      </c>
      <c r="L160" s="382">
        <f t="shared" si="27"/>
        <v>-38514.354800000001</v>
      </c>
      <c r="M160" s="377">
        <f>(IF($S$3=1,J160/I160-1,K160/I160-1))</f>
        <v>-0.14262813073806402</v>
      </c>
      <c r="N160" s="377"/>
      <c r="P160" s="30"/>
      <c r="Q160" s="31">
        <f t="shared" si="26"/>
        <v>0</v>
      </c>
    </row>
    <row r="161" spans="1:17" ht="15" x14ac:dyDescent="0.25">
      <c r="A161" s="474" t="s">
        <v>882</v>
      </c>
      <c r="B161" s="482"/>
      <c r="C161" s="479"/>
      <c r="D161" s="480"/>
      <c r="E161" s="481"/>
      <c r="F161" s="481"/>
      <c r="G161" s="481"/>
      <c r="H161" s="481"/>
      <c r="I161" s="481"/>
      <c r="J161" s="481"/>
      <c r="K161" s="481"/>
      <c r="L161" s="481"/>
      <c r="M161" s="377"/>
      <c r="N161" s="377"/>
      <c r="P161" s="30"/>
      <c r="Q161" s="31"/>
    </row>
    <row r="162" spans="1:17" x14ac:dyDescent="0.2">
      <c r="A162" s="25" t="s">
        <v>143</v>
      </c>
      <c r="B162" s="26" t="s">
        <v>144</v>
      </c>
      <c r="C162" s="376"/>
      <c r="D162" s="27"/>
      <c r="E162" s="27"/>
      <c r="F162" s="27"/>
      <c r="G162" s="27"/>
      <c r="H162" s="7"/>
      <c r="I162" s="27"/>
      <c r="J162" s="7">
        <v>16700</v>
      </c>
      <c r="K162" s="7">
        <v>16700</v>
      </c>
      <c r="L162" s="376"/>
      <c r="M162" s="377"/>
      <c r="N162" s="377"/>
      <c r="P162" s="30"/>
      <c r="Q162" s="31"/>
    </row>
    <row r="163" spans="1:17" x14ac:dyDescent="0.2">
      <c r="A163" s="25" t="s">
        <v>145</v>
      </c>
      <c r="B163" s="26" t="s">
        <v>146</v>
      </c>
      <c r="C163" s="376"/>
      <c r="D163" s="27"/>
      <c r="E163" s="27"/>
      <c r="F163" s="27"/>
      <c r="G163" s="27"/>
      <c r="H163" s="7"/>
      <c r="I163" s="27"/>
      <c r="J163" s="7">
        <v>32640</v>
      </c>
      <c r="K163" s="7">
        <v>32640</v>
      </c>
      <c r="L163" s="376"/>
      <c r="M163" s="377"/>
      <c r="N163" s="377"/>
      <c r="P163" s="30"/>
      <c r="Q163" s="31"/>
    </row>
    <row r="164" spans="1:17" ht="15" x14ac:dyDescent="0.25">
      <c r="A164" s="25"/>
      <c r="B164" s="43" t="s">
        <v>103</v>
      </c>
      <c r="C164" s="380">
        <f>SUM(C162:C163)</f>
        <v>0</v>
      </c>
      <c r="D164" s="380">
        <f t="shared" ref="D164:I164" si="31">SUM(D162:D163)</f>
        <v>0</v>
      </c>
      <c r="E164" s="380">
        <f t="shared" si="31"/>
        <v>0</v>
      </c>
      <c r="F164" s="380">
        <f t="shared" si="31"/>
        <v>0</v>
      </c>
      <c r="G164" s="380">
        <f t="shared" si="31"/>
        <v>0</v>
      </c>
      <c r="H164" s="575">
        <f t="shared" si="31"/>
        <v>0</v>
      </c>
      <c r="I164" s="380">
        <f t="shared" si="31"/>
        <v>0</v>
      </c>
      <c r="J164" s="381">
        <f>SUM(J162:J163)</f>
        <v>49340</v>
      </c>
      <c r="K164" s="381">
        <f>SUM(K162:K163)</f>
        <v>49340</v>
      </c>
      <c r="L164" s="382">
        <f t="shared" ref="L164" si="32">IF($S$3=1,J164-I164,K164-I164)</f>
        <v>49340</v>
      </c>
      <c r="M164" s="377"/>
      <c r="N164" s="377"/>
      <c r="P164" s="30"/>
      <c r="Q164" s="31"/>
    </row>
    <row r="165" spans="1:17" ht="15" x14ac:dyDescent="0.25">
      <c r="A165" s="474" t="s">
        <v>294</v>
      </c>
      <c r="B165" s="482"/>
      <c r="C165" s="479"/>
      <c r="D165" s="480"/>
      <c r="E165" s="481"/>
      <c r="F165" s="481"/>
      <c r="G165" s="481"/>
      <c r="H165" s="481"/>
      <c r="I165" s="481"/>
      <c r="J165" s="481"/>
      <c r="K165" s="481"/>
      <c r="L165" s="481"/>
      <c r="M165" s="377"/>
      <c r="N165" s="377"/>
      <c r="P165" s="30"/>
      <c r="Q165" s="31">
        <f t="shared" si="26"/>
        <v>0</v>
      </c>
    </row>
    <row r="166" spans="1:17" x14ac:dyDescent="0.2">
      <c r="A166" s="25" t="s">
        <v>149</v>
      </c>
      <c r="B166" s="26" t="s">
        <v>311</v>
      </c>
      <c r="C166" s="376">
        <v>6000</v>
      </c>
      <c r="D166" s="27">
        <v>6000</v>
      </c>
      <c r="E166" s="27">
        <v>7000</v>
      </c>
      <c r="F166" s="27">
        <v>7000</v>
      </c>
      <c r="G166" s="27">
        <v>7000</v>
      </c>
      <c r="H166" s="7">
        <v>7000</v>
      </c>
      <c r="I166" s="27">
        <v>7500</v>
      </c>
      <c r="J166" s="113">
        <v>7500</v>
      </c>
      <c r="K166" s="7">
        <v>7500</v>
      </c>
      <c r="L166" s="376">
        <f>IF($S$3=1,J166-I166,K166-I166)</f>
        <v>0</v>
      </c>
      <c r="M166" s="377">
        <f>(IF($S$3=1,J166/I166-1,K166/I166-1))</f>
        <v>0</v>
      </c>
      <c r="N166" s="377"/>
      <c r="P166" s="30"/>
      <c r="Q166" s="31">
        <f t="shared" si="26"/>
        <v>0</v>
      </c>
    </row>
    <row r="167" spans="1:17" x14ac:dyDescent="0.2">
      <c r="A167" s="25" t="s">
        <v>147</v>
      </c>
      <c r="B167" s="26" t="s">
        <v>148</v>
      </c>
      <c r="C167" s="376">
        <v>2220</v>
      </c>
      <c r="D167" s="27">
        <v>1000</v>
      </c>
      <c r="E167" s="27">
        <v>1000</v>
      </c>
      <c r="F167" s="27">
        <v>1000</v>
      </c>
      <c r="G167" s="27">
        <v>1000</v>
      </c>
      <c r="H167" s="7">
        <v>1000</v>
      </c>
      <c r="I167" s="27">
        <v>2000</v>
      </c>
      <c r="J167" s="113">
        <v>1000</v>
      </c>
      <c r="K167" s="7">
        <v>1000</v>
      </c>
      <c r="L167" s="376">
        <f>IF($S$3=1,J167-I167,K167-I167)</f>
        <v>-1000</v>
      </c>
      <c r="M167" s="377">
        <f>(IF($S$3=1,J167/I167-1,K167/I167-1))</f>
        <v>-0.5</v>
      </c>
      <c r="N167" s="377"/>
      <c r="P167" s="30"/>
      <c r="Q167" s="31">
        <f t="shared" si="26"/>
        <v>0</v>
      </c>
    </row>
    <row r="168" spans="1:17" ht="15" x14ac:dyDescent="0.25">
      <c r="A168" s="38"/>
      <c r="B168" s="43" t="s">
        <v>103</v>
      </c>
      <c r="C168" s="380">
        <v>8220</v>
      </c>
      <c r="D168" s="394">
        <v>7000</v>
      </c>
      <c r="E168" s="394">
        <v>8000</v>
      </c>
      <c r="F168" s="394">
        <v>8000</v>
      </c>
      <c r="G168" s="394">
        <v>8000</v>
      </c>
      <c r="H168" s="381">
        <v>8000</v>
      </c>
      <c r="I168" s="394">
        <v>9500</v>
      </c>
      <c r="J168" s="381">
        <f>SUM(J166:J167)</f>
        <v>8500</v>
      </c>
      <c r="K168" s="381">
        <f>SUM(K166:K167)</f>
        <v>8500</v>
      </c>
      <c r="L168" s="382">
        <f>IF($S$3=1,J168-I168,K168-I168)</f>
        <v>-1000</v>
      </c>
      <c r="M168" s="377">
        <f>(IF($S$3=1,J168/I168-1,K168/I168-1))</f>
        <v>-0.10526315789473684</v>
      </c>
      <c r="N168" s="377"/>
      <c r="P168" s="30"/>
      <c r="Q168" s="31">
        <f t="shared" si="26"/>
        <v>0</v>
      </c>
    </row>
    <row r="169" spans="1:17" ht="15" x14ac:dyDescent="0.25">
      <c r="A169" s="477" t="s">
        <v>302</v>
      </c>
      <c r="B169" s="477"/>
      <c r="C169" s="487"/>
      <c r="D169" s="488"/>
      <c r="E169" s="483"/>
      <c r="F169" s="483"/>
      <c r="G169" s="483"/>
      <c r="H169" s="483"/>
      <c r="I169" s="483"/>
      <c r="J169" s="483"/>
      <c r="K169" s="483"/>
      <c r="L169" s="483"/>
      <c r="M169" s="377"/>
      <c r="N169" s="377"/>
      <c r="P169" s="30"/>
      <c r="Q169" s="31">
        <f t="shared" si="26"/>
        <v>0</v>
      </c>
    </row>
    <row r="170" spans="1:17" x14ac:dyDescent="0.2">
      <c r="A170" s="51" t="s">
        <v>72</v>
      </c>
      <c r="B170" s="52" t="s">
        <v>73</v>
      </c>
      <c r="C170" s="376">
        <v>3000</v>
      </c>
      <c r="D170" s="27">
        <v>3000</v>
      </c>
      <c r="E170" s="27">
        <v>3000</v>
      </c>
      <c r="F170" s="27">
        <v>0</v>
      </c>
      <c r="G170" s="27">
        <v>3000</v>
      </c>
      <c r="H170" s="7">
        <v>3000</v>
      </c>
      <c r="I170" s="27">
        <v>3000</v>
      </c>
      <c r="J170" s="7">
        <v>3150</v>
      </c>
      <c r="K170" s="7">
        <v>3150</v>
      </c>
      <c r="L170" s="376">
        <f>IF($S$3=1,J170-I170,K170-I170)</f>
        <v>150</v>
      </c>
      <c r="M170" s="377">
        <f>(IF($S$3=1,J170/I170-1,K170/I170-1))</f>
        <v>5.0000000000000044E-2</v>
      </c>
      <c r="N170" s="377"/>
      <c r="P170" s="30"/>
      <c r="Q170" s="31">
        <f t="shared" si="26"/>
        <v>0</v>
      </c>
    </row>
    <row r="171" spans="1:17" ht="15" x14ac:dyDescent="0.25">
      <c r="A171" s="51"/>
      <c r="B171" s="43" t="s">
        <v>103</v>
      </c>
      <c r="C171" s="382">
        <v>3000</v>
      </c>
      <c r="D171" s="39">
        <v>3000</v>
      </c>
      <c r="E171" s="39">
        <v>3000</v>
      </c>
      <c r="F171" s="39">
        <v>0</v>
      </c>
      <c r="G171" s="39">
        <v>3000</v>
      </c>
      <c r="H171" s="101">
        <v>3000</v>
      </c>
      <c r="I171" s="39">
        <v>3000</v>
      </c>
      <c r="J171" s="101">
        <f>SUM(J170:J170)</f>
        <v>3150</v>
      </c>
      <c r="K171" s="101">
        <f>SUM(K170:K170)</f>
        <v>3150</v>
      </c>
      <c r="L171" s="382">
        <f>IF($S$3=1,J171-I171,K171-I171)</f>
        <v>150</v>
      </c>
      <c r="M171" s="377">
        <f>(IF($S$3=1,J171/I171-1,K171/I171-1))</f>
        <v>5.0000000000000044E-2</v>
      </c>
      <c r="N171" s="377"/>
      <c r="P171" s="30"/>
      <c r="Q171" s="31">
        <f t="shared" si="26"/>
        <v>0</v>
      </c>
    </row>
    <row r="172" spans="1:17" ht="15" x14ac:dyDescent="0.25">
      <c r="A172" s="474" t="s">
        <v>295</v>
      </c>
      <c r="B172" s="482"/>
      <c r="C172" s="479"/>
      <c r="D172" s="480"/>
      <c r="E172" s="481"/>
      <c r="F172" s="481"/>
      <c r="G172" s="481"/>
      <c r="H172" s="481"/>
      <c r="I172" s="481"/>
      <c r="J172" s="481"/>
      <c r="K172" s="481"/>
      <c r="L172" s="481"/>
      <c r="M172" s="377"/>
      <c r="N172" s="377"/>
      <c r="P172" s="30"/>
      <c r="Q172" s="31">
        <f t="shared" si="26"/>
        <v>0</v>
      </c>
    </row>
    <row r="173" spans="1:17" x14ac:dyDescent="0.2">
      <c r="A173" s="25" t="s">
        <v>18</v>
      </c>
      <c r="B173" s="26" t="s">
        <v>19</v>
      </c>
      <c r="C173" s="376">
        <v>8412.34</v>
      </c>
      <c r="D173" s="27">
        <v>8580.5868000000009</v>
      </c>
      <c r="E173" s="27">
        <v>8687.84</v>
      </c>
      <c r="F173" s="27">
        <v>8796.44</v>
      </c>
      <c r="G173" s="27">
        <v>8972.3700000000008</v>
      </c>
      <c r="H173" s="7">
        <v>9129.39</v>
      </c>
      <c r="I173" s="27">
        <v>9403.27</v>
      </c>
      <c r="J173" s="7">
        <v>9873.43</v>
      </c>
      <c r="K173" s="7">
        <f t="shared" ref="K173" si="33">I173*1.02</f>
        <v>9591.3353999999999</v>
      </c>
      <c r="L173" s="376">
        <f>IF($S$3=1,J173-I173,K173-I173)</f>
        <v>188.0653999999995</v>
      </c>
      <c r="M173" s="377">
        <f>(IF($S$3=1,J173/I173-1,K173/I173-1))</f>
        <v>2.0000000000000018E-2</v>
      </c>
      <c r="N173" s="377"/>
      <c r="P173" s="30" t="s">
        <v>209</v>
      </c>
      <c r="Q173" s="31">
        <f t="shared" si="26"/>
        <v>182.59</v>
      </c>
    </row>
    <row r="174" spans="1:17" x14ac:dyDescent="0.2">
      <c r="A174" s="25" t="s">
        <v>20</v>
      </c>
      <c r="B174" s="26" t="s">
        <v>21</v>
      </c>
      <c r="C174" s="376">
        <v>1730</v>
      </c>
      <c r="D174" s="27">
        <v>1764.6000000000001</v>
      </c>
      <c r="E174" s="27">
        <v>1764.6</v>
      </c>
      <c r="F174" s="27">
        <v>1764.6</v>
      </c>
      <c r="G174" s="27">
        <v>1791.07</v>
      </c>
      <c r="H174" s="7">
        <v>1791.07</v>
      </c>
      <c r="I174" s="27">
        <v>1826.89</v>
      </c>
      <c r="J174" s="7">
        <v>1826.89</v>
      </c>
      <c r="K174" s="7">
        <v>1826.89</v>
      </c>
      <c r="L174" s="376">
        <f>IF($S$3=1,J174-I174,K174-I174)</f>
        <v>0</v>
      </c>
      <c r="M174" s="377">
        <f>(IF($S$3=1,J174/I174-1,K174/I174-1))</f>
        <v>0</v>
      </c>
      <c r="N174" s="377"/>
      <c r="P174" s="30"/>
      <c r="Q174" s="31">
        <f t="shared" si="26"/>
        <v>0</v>
      </c>
    </row>
    <row r="175" spans="1:17" x14ac:dyDescent="0.2">
      <c r="A175" s="25" t="s">
        <v>22</v>
      </c>
      <c r="B175" s="26" t="s">
        <v>23</v>
      </c>
      <c r="C175" s="376">
        <v>6525</v>
      </c>
      <c r="D175" s="27">
        <v>6525</v>
      </c>
      <c r="E175" s="27">
        <v>6525</v>
      </c>
      <c r="F175" s="27">
        <v>6525</v>
      </c>
      <c r="G175" s="27">
        <v>6525</v>
      </c>
      <c r="H175" s="7">
        <v>6525</v>
      </c>
      <c r="I175" s="27">
        <v>6650</v>
      </c>
      <c r="J175" s="7">
        <v>6650</v>
      </c>
      <c r="K175" s="7">
        <v>6650</v>
      </c>
      <c r="L175" s="376">
        <f>IF($S$3=1,J175-I175,K175-I175)</f>
        <v>0</v>
      </c>
      <c r="M175" s="377">
        <f>(IF($S$3=1,J175/I175-1,K175/I175-1))</f>
        <v>0</v>
      </c>
      <c r="N175" s="377"/>
      <c r="P175" s="30"/>
      <c r="Q175" s="31">
        <f t="shared" si="26"/>
        <v>0</v>
      </c>
    </row>
    <row r="176" spans="1:17" ht="15" x14ac:dyDescent="0.25">
      <c r="A176" s="38"/>
      <c r="B176" s="43" t="s">
        <v>103</v>
      </c>
      <c r="C176" s="380">
        <v>16667.34</v>
      </c>
      <c r="D176" s="394">
        <v>16870.186800000003</v>
      </c>
      <c r="E176" s="394">
        <v>16977.440000000002</v>
      </c>
      <c r="F176" s="394">
        <v>17086.04</v>
      </c>
      <c r="G176" s="394">
        <v>17288.439999999999</v>
      </c>
      <c r="H176" s="381">
        <v>17445.46</v>
      </c>
      <c r="I176" s="394">
        <v>17880.16</v>
      </c>
      <c r="J176" s="381">
        <f>SUM(J173:J175)</f>
        <v>18350.32</v>
      </c>
      <c r="K176" s="381">
        <f>SUM(K173:K175)</f>
        <v>18068.225399999999</v>
      </c>
      <c r="L176" s="382">
        <f>IF($S$3=1,J176-I176,K176-I176)</f>
        <v>188.0653999999995</v>
      </c>
      <c r="M176" s="377">
        <f>(IF($S$3=1,J176/I176-1,K176/I176-1))</f>
        <v>1.0518104983400667E-2</v>
      </c>
      <c r="N176" s="377"/>
      <c r="P176" s="30"/>
      <c r="Q176" s="31">
        <f t="shared" si="26"/>
        <v>0</v>
      </c>
    </row>
    <row r="177" spans="1:17" ht="15" x14ac:dyDescent="0.25">
      <c r="A177" s="474" t="s">
        <v>296</v>
      </c>
      <c r="B177" s="482"/>
      <c r="C177" s="479"/>
      <c r="D177" s="480"/>
      <c r="E177" s="481"/>
      <c r="F177" s="481"/>
      <c r="G177" s="481"/>
      <c r="H177" s="481"/>
      <c r="I177" s="481"/>
      <c r="J177" s="481"/>
      <c r="K177" s="539"/>
      <c r="L177" s="481"/>
      <c r="M177" s="377"/>
      <c r="N177" s="377"/>
      <c r="P177" s="30"/>
      <c r="Q177" s="31">
        <f t="shared" si="26"/>
        <v>0</v>
      </c>
    </row>
    <row r="178" spans="1:17" x14ac:dyDescent="0.2">
      <c r="A178" s="25" t="s">
        <v>25</v>
      </c>
      <c r="B178" s="26" t="s">
        <v>206</v>
      </c>
      <c r="C178" s="376">
        <v>2391.89</v>
      </c>
      <c r="D178" s="27">
        <v>2439.7278000000001</v>
      </c>
      <c r="E178" s="27">
        <v>2470.2199999999998</v>
      </c>
      <c r="F178" s="27">
        <v>2501.1</v>
      </c>
      <c r="G178" s="27">
        <v>2501.1</v>
      </c>
      <c r="H178" s="7">
        <v>2544.87</v>
      </c>
      <c r="I178" s="27">
        <v>2621.2199999999998</v>
      </c>
      <c r="J178" s="7">
        <v>2699.85</v>
      </c>
      <c r="K178" s="7">
        <f t="shared" ref="K178" si="34">I178*1.02</f>
        <v>2673.6443999999997</v>
      </c>
      <c r="L178" s="376">
        <f t="shared" ref="L178:L184" si="35">IF($S$3=1,J178-I178,K178-I178)</f>
        <v>52.424399999999878</v>
      </c>
      <c r="M178" s="377">
        <f t="shared" ref="M178:M184" si="36">(IF($S$3=1,J178/I178-1,K178/I178-1))</f>
        <v>2.0000000000000018E-2</v>
      </c>
      <c r="N178" s="377"/>
      <c r="P178" s="30" t="s">
        <v>209</v>
      </c>
      <c r="Q178" s="31">
        <f t="shared" si="26"/>
        <v>50.9</v>
      </c>
    </row>
    <row r="179" spans="1:17" x14ac:dyDescent="0.2">
      <c r="A179" s="25" t="s">
        <v>26</v>
      </c>
      <c r="B179" s="26" t="s">
        <v>207</v>
      </c>
      <c r="C179" s="376">
        <v>10009.129999999999</v>
      </c>
      <c r="D179" s="27">
        <v>11668.800000000001</v>
      </c>
      <c r="E179" s="27">
        <v>11814.66</v>
      </c>
      <c r="F179" s="27">
        <v>11962.34</v>
      </c>
      <c r="G179" s="27">
        <v>11962.34</v>
      </c>
      <c r="H179" s="7">
        <v>12171.68</v>
      </c>
      <c r="I179" s="27">
        <v>12536.83</v>
      </c>
      <c r="J179" s="7">
        <v>14160</v>
      </c>
      <c r="K179" s="7">
        <v>12563.83</v>
      </c>
      <c r="L179" s="376">
        <f t="shared" si="35"/>
        <v>27</v>
      </c>
      <c r="M179" s="377">
        <f t="shared" si="36"/>
        <v>2.1536544724622964E-3</v>
      </c>
      <c r="N179" s="377"/>
      <c r="P179" s="30" t="s">
        <v>209</v>
      </c>
      <c r="Q179" s="31">
        <f t="shared" si="26"/>
        <v>243.43</v>
      </c>
    </row>
    <row r="180" spans="1:17" x14ac:dyDescent="0.2">
      <c r="A180" s="25" t="s">
        <v>673</v>
      </c>
      <c r="B180" s="26" t="s">
        <v>651</v>
      </c>
      <c r="C180" s="376">
        <v>10009.129999999999</v>
      </c>
      <c r="D180" s="27">
        <v>0</v>
      </c>
      <c r="E180" s="27">
        <v>0</v>
      </c>
      <c r="F180" s="27">
        <v>0</v>
      </c>
      <c r="G180" s="27">
        <v>6000</v>
      </c>
      <c r="H180" s="7">
        <v>10374</v>
      </c>
      <c r="I180" s="27">
        <v>10868</v>
      </c>
      <c r="J180" s="7">
        <v>11194.04</v>
      </c>
      <c r="K180" s="7">
        <f t="shared" ref="K180" si="37">I180*1.02</f>
        <v>11085.36</v>
      </c>
      <c r="L180" s="376">
        <f t="shared" si="35"/>
        <v>217.36000000000058</v>
      </c>
      <c r="M180" s="377">
        <f t="shared" si="36"/>
        <v>2.0000000000000018E-2</v>
      </c>
      <c r="N180" s="377"/>
      <c r="P180" s="30" t="s">
        <v>209</v>
      </c>
      <c r="Q180" s="31">
        <f t="shared" si="26"/>
        <v>207.48</v>
      </c>
    </row>
    <row r="181" spans="1:17" x14ac:dyDescent="0.2">
      <c r="A181" s="51" t="s">
        <v>279</v>
      </c>
      <c r="B181" s="52" t="s">
        <v>205</v>
      </c>
      <c r="C181" s="376">
        <v>585</v>
      </c>
      <c r="D181" s="27">
        <v>585</v>
      </c>
      <c r="E181" s="27">
        <v>585</v>
      </c>
      <c r="F181" s="27">
        <v>800</v>
      </c>
      <c r="G181" s="27">
        <v>800</v>
      </c>
      <c r="H181" s="7">
        <v>800</v>
      </c>
      <c r="I181" s="27">
        <v>800</v>
      </c>
      <c r="J181" s="7">
        <v>800</v>
      </c>
      <c r="K181" s="7">
        <v>800</v>
      </c>
      <c r="L181" s="376">
        <f t="shared" si="35"/>
        <v>0</v>
      </c>
      <c r="M181" s="377">
        <f t="shared" si="36"/>
        <v>0</v>
      </c>
      <c r="N181" s="377"/>
      <c r="P181" s="30"/>
      <c r="Q181" s="31">
        <f t="shared" si="26"/>
        <v>0</v>
      </c>
    </row>
    <row r="182" spans="1:17" x14ac:dyDescent="0.2">
      <c r="A182" s="25" t="s">
        <v>24</v>
      </c>
      <c r="B182" s="73" t="s">
        <v>261</v>
      </c>
      <c r="C182" s="376">
        <v>9534.9699999999993</v>
      </c>
      <c r="D182" s="27">
        <v>10470.969999999999</v>
      </c>
      <c r="E182" s="27">
        <v>10470.969999999999</v>
      </c>
      <c r="F182" s="27">
        <v>10470.969999999999</v>
      </c>
      <c r="G182" s="27">
        <v>12090.97</v>
      </c>
      <c r="H182" s="7">
        <v>12390.97</v>
      </c>
      <c r="I182" s="27">
        <v>12890.97</v>
      </c>
      <c r="J182" s="7">
        <v>14505.97</v>
      </c>
      <c r="K182" s="7">
        <v>14505.97</v>
      </c>
      <c r="L182" s="376">
        <f t="shared" si="35"/>
        <v>1615</v>
      </c>
      <c r="M182" s="377">
        <f t="shared" si="36"/>
        <v>0.12528149549645984</v>
      </c>
      <c r="N182" s="377"/>
      <c r="P182" s="30"/>
      <c r="Q182" s="31">
        <f t="shared" si="26"/>
        <v>0</v>
      </c>
    </row>
    <row r="183" spans="1:17" x14ac:dyDescent="0.2">
      <c r="A183" s="25"/>
      <c r="B183" s="73" t="s">
        <v>856</v>
      </c>
      <c r="C183" s="376">
        <v>9534.9699999999993</v>
      </c>
      <c r="D183" s="27">
        <v>10470.969999999999</v>
      </c>
      <c r="E183" s="27">
        <v>10470.969999999999</v>
      </c>
      <c r="F183" s="27"/>
      <c r="G183" s="27"/>
      <c r="H183" s="7"/>
      <c r="I183" s="27">
        <v>8300</v>
      </c>
      <c r="J183" s="7">
        <v>8549</v>
      </c>
      <c r="K183" s="7">
        <f>I183*1.02</f>
        <v>8466</v>
      </c>
      <c r="L183" s="376">
        <f t="shared" si="35"/>
        <v>166</v>
      </c>
      <c r="M183" s="377">
        <f t="shared" si="36"/>
        <v>2.0000000000000018E-2</v>
      </c>
      <c r="N183" s="377"/>
      <c r="P183" s="30"/>
      <c r="Q183" s="31">
        <f t="shared" si="26"/>
        <v>0</v>
      </c>
    </row>
    <row r="184" spans="1:17" ht="15" x14ac:dyDescent="0.25">
      <c r="A184" s="38"/>
      <c r="B184" s="43" t="s">
        <v>103</v>
      </c>
      <c r="C184" s="380">
        <v>22520.989999999998</v>
      </c>
      <c r="D184" s="394">
        <v>25164.497800000001</v>
      </c>
      <c r="E184" s="394">
        <v>25340.85</v>
      </c>
      <c r="F184" s="394">
        <v>25734.41</v>
      </c>
      <c r="G184" s="394">
        <v>33354.410000000003</v>
      </c>
      <c r="H184" s="381">
        <v>38281.519999999997</v>
      </c>
      <c r="I184" s="394">
        <v>48017.02</v>
      </c>
      <c r="J184" s="381">
        <f>SUM(J178:J183)</f>
        <v>51908.86</v>
      </c>
      <c r="K184" s="381">
        <f>SUM(K178:K183)</f>
        <v>50094.804400000001</v>
      </c>
      <c r="L184" s="382">
        <f t="shared" si="35"/>
        <v>2077.7844000000041</v>
      </c>
      <c r="M184" s="377">
        <f t="shared" si="36"/>
        <v>4.3271831529736904E-2</v>
      </c>
      <c r="N184" s="377"/>
      <c r="P184" s="30"/>
      <c r="Q184" s="31">
        <f t="shared" si="26"/>
        <v>0</v>
      </c>
    </row>
    <row r="185" spans="1:17" ht="15" x14ac:dyDescent="0.25">
      <c r="A185" s="474" t="s">
        <v>301</v>
      </c>
      <c r="B185" s="482"/>
      <c r="C185" s="479"/>
      <c r="D185" s="480"/>
      <c r="E185" s="481"/>
      <c r="F185" s="481"/>
      <c r="G185" s="481"/>
      <c r="H185" s="481"/>
      <c r="I185" s="481"/>
      <c r="J185" s="481"/>
      <c r="K185" s="481"/>
      <c r="L185" s="481"/>
      <c r="M185" s="383"/>
      <c r="N185" s="377"/>
      <c r="P185" s="30"/>
      <c r="Q185" s="31">
        <f t="shared" si="26"/>
        <v>0</v>
      </c>
    </row>
    <row r="186" spans="1:17" x14ac:dyDescent="0.2">
      <c r="A186" s="51" t="s">
        <v>41</v>
      </c>
      <c r="B186" s="52" t="s">
        <v>42</v>
      </c>
      <c r="C186" s="376">
        <v>5655.06</v>
      </c>
      <c r="D186" s="27">
        <v>5753.95</v>
      </c>
      <c r="E186" s="27">
        <v>2802.75</v>
      </c>
      <c r="F186" s="27">
        <v>3000</v>
      </c>
      <c r="G186" s="27">
        <v>3000</v>
      </c>
      <c r="H186" s="7">
        <v>2924.48</v>
      </c>
      <c r="I186" s="27">
        <v>2924.48</v>
      </c>
      <c r="J186" s="113">
        <v>2924.48</v>
      </c>
      <c r="K186" s="7">
        <v>2924.48</v>
      </c>
      <c r="L186" s="376">
        <f>IF($S$3=1,J186-I186,K186-I186)</f>
        <v>0</v>
      </c>
      <c r="M186" s="377">
        <f>(IF($S$3=1,J186/I186-1,K186/I186-1))</f>
        <v>0</v>
      </c>
      <c r="N186" s="377"/>
      <c r="P186" s="30"/>
      <c r="Q186" s="31">
        <f t="shared" si="26"/>
        <v>0</v>
      </c>
    </row>
    <row r="187" spans="1:17" x14ac:dyDescent="0.2">
      <c r="A187" s="51" t="s">
        <v>27</v>
      </c>
      <c r="B187" s="52" t="s">
        <v>28</v>
      </c>
      <c r="C187" s="376">
        <v>14000</v>
      </c>
      <c r="D187" s="27">
        <v>16000</v>
      </c>
      <c r="E187" s="27">
        <v>16000</v>
      </c>
      <c r="F187" s="27">
        <v>16500</v>
      </c>
      <c r="G187" s="27">
        <v>17500</v>
      </c>
      <c r="H187" s="7">
        <v>25000</v>
      </c>
      <c r="I187" s="27">
        <v>25000</v>
      </c>
      <c r="J187" s="113">
        <v>25000</v>
      </c>
      <c r="K187" s="7">
        <v>25000</v>
      </c>
      <c r="L187" s="376">
        <f>IF($S$3=1,J187-I187,K187-I187)</f>
        <v>0</v>
      </c>
      <c r="M187" s="377">
        <f>(IF($S$3=1,J187/I187-1,K187/I187-1))</f>
        <v>0</v>
      </c>
      <c r="N187" s="377"/>
      <c r="P187" s="30"/>
      <c r="Q187" s="31">
        <f t="shared" si="26"/>
        <v>0</v>
      </c>
    </row>
    <row r="188" spans="1:17" ht="15" x14ac:dyDescent="0.25">
      <c r="A188" s="38"/>
      <c r="B188" s="43" t="s">
        <v>103</v>
      </c>
      <c r="C188" s="380">
        <v>19655.060000000001</v>
      </c>
      <c r="D188" s="394">
        <v>21753.95</v>
      </c>
      <c r="E188" s="394">
        <v>18802.75</v>
      </c>
      <c r="F188" s="394">
        <v>19500</v>
      </c>
      <c r="G188" s="394">
        <v>20500</v>
      </c>
      <c r="H188" s="381">
        <v>27924.48</v>
      </c>
      <c r="I188" s="394">
        <v>27924.48</v>
      </c>
      <c r="J188" s="381">
        <f>SUM(J186:J187)</f>
        <v>27924.48</v>
      </c>
      <c r="K188" s="381">
        <f>SUM(K186:K187)</f>
        <v>27924.48</v>
      </c>
      <c r="L188" s="382">
        <f>IF($S$3=1,J188-I188,K188-I188)</f>
        <v>0</v>
      </c>
      <c r="M188" s="377">
        <f>(IF($S$3=1,J188/I188-1,K188/I188-1))</f>
        <v>0</v>
      </c>
      <c r="N188" s="377"/>
      <c r="P188" s="30"/>
      <c r="Q188" s="31">
        <f t="shared" si="26"/>
        <v>0</v>
      </c>
    </row>
    <row r="189" spans="1:17" ht="15" x14ac:dyDescent="0.25">
      <c r="A189" s="474" t="s">
        <v>298</v>
      </c>
      <c r="B189" s="482"/>
      <c r="C189" s="479"/>
      <c r="D189" s="480"/>
      <c r="E189" s="481"/>
      <c r="F189" s="481"/>
      <c r="G189" s="481"/>
      <c r="H189" s="481"/>
      <c r="I189" s="481"/>
      <c r="J189" s="481"/>
      <c r="K189" s="481"/>
      <c r="L189" s="481"/>
      <c r="M189" s="383"/>
      <c r="N189" s="377"/>
      <c r="P189" s="30"/>
      <c r="Q189" s="31">
        <f t="shared" si="26"/>
        <v>0</v>
      </c>
    </row>
    <row r="190" spans="1:17" x14ac:dyDescent="0.2">
      <c r="A190" s="51" t="s">
        <v>43</v>
      </c>
      <c r="B190" s="52" t="s">
        <v>44</v>
      </c>
      <c r="C190" s="393">
        <v>16388.740000000002</v>
      </c>
      <c r="D190" s="396">
        <v>17503.2</v>
      </c>
      <c r="E190" s="396">
        <v>17721.990000000002</v>
      </c>
      <c r="F190" s="396">
        <v>17943.509999999998</v>
      </c>
      <c r="G190" s="396">
        <v>18302.38</v>
      </c>
      <c r="H190" s="7">
        <v>18622.669999999998</v>
      </c>
      <c r="I190" s="27"/>
      <c r="J190" s="7"/>
      <c r="K190" s="7">
        <v>0</v>
      </c>
      <c r="L190" s="376">
        <f>IF($S$3=1,J190-I190,K190-I190)</f>
        <v>0</v>
      </c>
      <c r="M190" s="377"/>
      <c r="N190" s="377"/>
      <c r="O190" s="191"/>
      <c r="P190" s="30"/>
      <c r="Q190" s="31">
        <f t="shared" si="26"/>
        <v>0</v>
      </c>
    </row>
    <row r="191" spans="1:17" x14ac:dyDescent="0.2">
      <c r="A191" s="51" t="s">
        <v>45</v>
      </c>
      <c r="B191" s="52" t="s">
        <v>46</v>
      </c>
      <c r="C191" s="393">
        <v>11233.44</v>
      </c>
      <c r="D191" s="396">
        <v>11458.1088</v>
      </c>
      <c r="E191" s="396">
        <v>11601.34</v>
      </c>
      <c r="F191" s="396">
        <v>10581.48</v>
      </c>
      <c r="G191" s="396">
        <v>10793.11</v>
      </c>
      <c r="H191" s="7">
        <v>10981.99</v>
      </c>
      <c r="I191" s="27"/>
      <c r="J191" s="7"/>
      <c r="K191" s="7">
        <v>0</v>
      </c>
      <c r="L191" s="376">
        <f>IF($S$3=1,J191-I191,K191-I191)</f>
        <v>0</v>
      </c>
      <c r="M191" s="377"/>
      <c r="N191" s="377"/>
      <c r="P191" s="30"/>
      <c r="Q191" s="31">
        <f t="shared" si="26"/>
        <v>0</v>
      </c>
    </row>
    <row r="192" spans="1:17" x14ac:dyDescent="0.2">
      <c r="A192" s="51" t="s">
        <v>47</v>
      </c>
      <c r="B192" s="52" t="s">
        <v>48</v>
      </c>
      <c r="C192" s="393">
        <v>1575.99</v>
      </c>
      <c r="D192" s="396">
        <v>1607.5098</v>
      </c>
      <c r="E192" s="396">
        <v>1627.6</v>
      </c>
      <c r="F192" s="396">
        <v>1486.68</v>
      </c>
      <c r="G192" s="396">
        <v>1516.41</v>
      </c>
      <c r="H192" s="7">
        <v>1542.95</v>
      </c>
      <c r="I192" s="27"/>
      <c r="J192" s="7"/>
      <c r="K192" s="7">
        <v>0</v>
      </c>
      <c r="L192" s="376">
        <f>IF($S$3=1,J192-I192,K192-I192)</f>
        <v>0</v>
      </c>
      <c r="M192" s="377"/>
      <c r="N192" s="377"/>
      <c r="O192" s="191"/>
      <c r="P192" s="30"/>
      <c r="Q192" s="31">
        <f t="shared" si="26"/>
        <v>0</v>
      </c>
    </row>
    <row r="193" spans="1:17" x14ac:dyDescent="0.2">
      <c r="A193" s="51" t="s">
        <v>49</v>
      </c>
      <c r="B193" s="52" t="s">
        <v>262</v>
      </c>
      <c r="C193" s="393">
        <v>16280.97</v>
      </c>
      <c r="D193" s="396">
        <v>16782.87</v>
      </c>
      <c r="E193" s="396">
        <v>17286.349999999999</v>
      </c>
      <c r="F193" s="396">
        <v>18493.330000000002</v>
      </c>
      <c r="G193" s="396">
        <v>19094.100000000002</v>
      </c>
      <c r="H193" s="7">
        <v>19571.54</v>
      </c>
      <c r="I193" s="27">
        <v>51388.38</v>
      </c>
      <c r="J193" s="7">
        <v>53947</v>
      </c>
      <c r="K193" s="7">
        <v>52008</v>
      </c>
      <c r="L193" s="376">
        <f>IF($S$3=1,J193-I193,K193-I193)</f>
        <v>619.62000000000262</v>
      </c>
      <c r="M193" s="377">
        <f>(IF($S$3=1,J193/I193-1,K193/I193-1))</f>
        <v>1.2057589672996194E-2</v>
      </c>
      <c r="N193" s="377"/>
      <c r="P193" s="30"/>
      <c r="Q193" s="31">
        <f t="shared" si="26"/>
        <v>0</v>
      </c>
    </row>
    <row r="194" spans="1:17" ht="15" x14ac:dyDescent="0.25">
      <c r="A194" s="38"/>
      <c r="B194" s="43" t="s">
        <v>103</v>
      </c>
      <c r="C194" s="397">
        <v>45479.14</v>
      </c>
      <c r="D194" s="399">
        <v>47351.688599999994</v>
      </c>
      <c r="E194" s="399">
        <v>48237.279999999999</v>
      </c>
      <c r="F194" s="399">
        <v>48505</v>
      </c>
      <c r="G194" s="399">
        <v>49706</v>
      </c>
      <c r="H194" s="398">
        <v>50719.149999999994</v>
      </c>
      <c r="I194" s="399">
        <v>51388.38</v>
      </c>
      <c r="J194" s="398">
        <f>SUM(J190:J193)</f>
        <v>53947</v>
      </c>
      <c r="K194" s="398">
        <f>SUM(K190:K193)</f>
        <v>52008</v>
      </c>
      <c r="L194" s="382">
        <f>IF($S$3=1,J194-I194,K194-I194)</f>
        <v>619.62000000000262</v>
      </c>
      <c r="M194" s="377">
        <f>(IF($S$3=1,J194/I194-1,K194/I194-1))</f>
        <v>1.2057589672996194E-2</v>
      </c>
      <c r="N194" s="377"/>
      <c r="O194" s="163"/>
      <c r="P194" s="30"/>
      <c r="Q194" s="31">
        <f t="shared" si="26"/>
        <v>0</v>
      </c>
    </row>
    <row r="195" spans="1:17" ht="15" x14ac:dyDescent="0.25">
      <c r="A195" s="474" t="s">
        <v>299</v>
      </c>
      <c r="B195" s="482"/>
      <c r="C195" s="479"/>
      <c r="D195" s="480"/>
      <c r="E195" s="481"/>
      <c r="F195" s="481"/>
      <c r="G195" s="481"/>
      <c r="H195" s="481"/>
      <c r="I195" s="481"/>
      <c r="J195" s="481"/>
      <c r="K195" s="481"/>
      <c r="L195" s="481"/>
      <c r="M195" s="383"/>
      <c r="N195" s="377"/>
      <c r="P195" s="30"/>
      <c r="Q195" s="31">
        <f t="shared" si="26"/>
        <v>0</v>
      </c>
    </row>
    <row r="196" spans="1:17" x14ac:dyDescent="0.2">
      <c r="A196" s="51" t="s">
        <v>50</v>
      </c>
      <c r="B196" s="52" t="s">
        <v>263</v>
      </c>
      <c r="C196" s="376">
        <v>2699.15</v>
      </c>
      <c r="D196" s="27">
        <v>2699.15</v>
      </c>
      <c r="E196" s="27">
        <v>2800</v>
      </c>
      <c r="F196" s="27">
        <v>2800</v>
      </c>
      <c r="G196" s="27">
        <v>2800</v>
      </c>
      <c r="H196" s="7">
        <v>3000</v>
      </c>
      <c r="I196" s="27">
        <v>3100</v>
      </c>
      <c r="J196" s="7">
        <v>3100</v>
      </c>
      <c r="K196" s="7">
        <v>3100</v>
      </c>
      <c r="L196" s="376">
        <f>IF($S$3=1,J196-I196,K196-I196)</f>
        <v>0</v>
      </c>
      <c r="M196" s="377">
        <f>(IF($S$3=1,J196/I196-1,K196/I196-1))</f>
        <v>0</v>
      </c>
      <c r="N196" s="377"/>
      <c r="P196" s="30"/>
      <c r="Q196" s="31">
        <f t="shared" si="26"/>
        <v>0</v>
      </c>
    </row>
    <row r="197" spans="1:17" x14ac:dyDescent="0.2">
      <c r="A197" s="51" t="s">
        <v>51</v>
      </c>
      <c r="B197" s="52" t="s">
        <v>52</v>
      </c>
      <c r="C197" s="376">
        <v>3800</v>
      </c>
      <c r="D197" s="27">
        <v>3800</v>
      </c>
      <c r="E197" s="27">
        <v>3800</v>
      </c>
      <c r="F197" s="27">
        <v>3800</v>
      </c>
      <c r="G197" s="27">
        <v>3800</v>
      </c>
      <c r="H197" s="7">
        <v>3800</v>
      </c>
      <c r="I197" s="27">
        <v>3800</v>
      </c>
      <c r="J197" s="7">
        <v>6280</v>
      </c>
      <c r="K197" s="7">
        <v>6280</v>
      </c>
      <c r="L197" s="376">
        <f>IF($S$3=1,J197-I197,K197-I197)</f>
        <v>2480</v>
      </c>
      <c r="M197" s="377">
        <f>(IF($S$3=1,J197/I197-1,K197/I197-1))</f>
        <v>0.65263157894736845</v>
      </c>
      <c r="N197" s="377"/>
      <c r="P197" s="30"/>
      <c r="Q197" s="31">
        <f t="shared" si="26"/>
        <v>0</v>
      </c>
    </row>
    <row r="198" spans="1:17" x14ac:dyDescent="0.2">
      <c r="A198" s="51" t="s">
        <v>53</v>
      </c>
      <c r="B198" s="52" t="s">
        <v>54</v>
      </c>
      <c r="C198" s="376">
        <v>3500</v>
      </c>
      <c r="D198" s="27">
        <v>3500</v>
      </c>
      <c r="E198" s="27">
        <v>2500</v>
      </c>
      <c r="F198" s="27">
        <v>2500</v>
      </c>
      <c r="G198" s="27">
        <v>2500</v>
      </c>
      <c r="H198" s="7">
        <v>2500</v>
      </c>
      <c r="I198" s="27">
        <v>2500</v>
      </c>
      <c r="J198" s="113">
        <v>2500</v>
      </c>
      <c r="K198" s="7">
        <v>2500</v>
      </c>
      <c r="L198" s="376">
        <f>IF($S$3=1,J198-I198,K198-I198)</f>
        <v>0</v>
      </c>
      <c r="M198" s="377">
        <f>(IF($S$3=1,J198/I198-1,K198/I198-1))</f>
        <v>0</v>
      </c>
      <c r="N198" s="377"/>
      <c r="P198" s="30"/>
      <c r="Q198" s="31">
        <f t="shared" si="26"/>
        <v>0</v>
      </c>
    </row>
    <row r="199" spans="1:17" x14ac:dyDescent="0.2">
      <c r="A199" s="51" t="s">
        <v>55</v>
      </c>
      <c r="B199" s="52" t="s">
        <v>56</v>
      </c>
      <c r="C199" s="376">
        <v>1000</v>
      </c>
      <c r="D199" s="27">
        <v>1000</v>
      </c>
      <c r="E199" s="27">
        <v>1000</v>
      </c>
      <c r="F199" s="27">
        <v>1000</v>
      </c>
      <c r="G199" s="27">
        <v>1000</v>
      </c>
      <c r="H199" s="7">
        <v>1000</v>
      </c>
      <c r="I199" s="27">
        <v>1000</v>
      </c>
      <c r="J199" s="113">
        <v>1000</v>
      </c>
      <c r="K199" s="7">
        <v>1000</v>
      </c>
      <c r="L199" s="376">
        <f>IF($S$3=1,J199-I199,K199-I199)</f>
        <v>0</v>
      </c>
      <c r="M199" s="377">
        <f>(IF($S$3=1,J199/I199-1,K199/I199-1))</f>
        <v>0</v>
      </c>
      <c r="N199" s="377"/>
      <c r="P199" s="30"/>
      <c r="Q199" s="31">
        <f t="shared" si="26"/>
        <v>0</v>
      </c>
    </row>
    <row r="200" spans="1:17" ht="15" x14ac:dyDescent="0.25">
      <c r="A200" s="38"/>
      <c r="B200" s="43" t="s">
        <v>103</v>
      </c>
      <c r="C200" s="380">
        <v>10999.15</v>
      </c>
      <c r="D200" s="394">
        <v>10999.15</v>
      </c>
      <c r="E200" s="394">
        <v>10100</v>
      </c>
      <c r="F200" s="394">
        <v>10100</v>
      </c>
      <c r="G200" s="394">
        <v>10100</v>
      </c>
      <c r="H200" s="381">
        <v>10300</v>
      </c>
      <c r="I200" s="394">
        <v>10400</v>
      </c>
      <c r="J200" s="381">
        <f>SUM(J196:J199)</f>
        <v>12880</v>
      </c>
      <c r="K200" s="381">
        <f>SUM(K196:K199)</f>
        <v>12880</v>
      </c>
      <c r="L200" s="382">
        <f>IF($S$3=1,J200-I200,K200-I200)</f>
        <v>2480</v>
      </c>
      <c r="M200" s="377">
        <f>(IF($S$3=1,J200/I200-1,K200/I200-1))</f>
        <v>0.2384615384615385</v>
      </c>
      <c r="N200" s="377"/>
      <c r="P200" s="30"/>
      <c r="Q200" s="31">
        <f t="shared" si="26"/>
        <v>0</v>
      </c>
    </row>
    <row r="201" spans="1:17" ht="15" x14ac:dyDescent="0.25">
      <c r="A201" s="477" t="s">
        <v>300</v>
      </c>
      <c r="B201" s="482"/>
      <c r="C201" s="479"/>
      <c r="D201" s="480"/>
      <c r="E201" s="481"/>
      <c r="F201" s="481"/>
      <c r="G201" s="481"/>
      <c r="H201" s="481"/>
      <c r="I201" s="481"/>
      <c r="J201" s="481"/>
      <c r="K201" s="481"/>
      <c r="L201" s="481"/>
      <c r="M201" s="383"/>
      <c r="N201" s="377"/>
      <c r="P201" s="30"/>
      <c r="Q201" s="31">
        <f t="shared" si="26"/>
        <v>0</v>
      </c>
    </row>
    <row r="202" spans="1:17" x14ac:dyDescent="0.2">
      <c r="A202" s="2" t="s">
        <v>57</v>
      </c>
      <c r="B202" s="2" t="s">
        <v>844</v>
      </c>
      <c r="C202" s="376">
        <v>5150</v>
      </c>
      <c r="D202" s="27">
        <v>4120</v>
      </c>
      <c r="E202" s="27">
        <v>3090</v>
      </c>
      <c r="F202" s="27">
        <v>2060</v>
      </c>
      <c r="G202" s="27">
        <v>1030</v>
      </c>
      <c r="H202" s="7">
        <v>0</v>
      </c>
      <c r="I202" s="27">
        <v>3000</v>
      </c>
      <c r="J202" s="7">
        <v>2000</v>
      </c>
      <c r="K202" s="7">
        <v>2000</v>
      </c>
      <c r="L202" s="376">
        <f t="shared" ref="L202:L208" si="38">IF($S$3=1,J202-I202,K202-I202)</f>
        <v>-1000</v>
      </c>
      <c r="M202" s="377">
        <f>(IF($S$3=1,J202/I202-1,K202/I202-1))</f>
        <v>-0.33333333333333337</v>
      </c>
      <c r="N202" s="377"/>
      <c r="P202" s="30"/>
      <c r="Q202" s="31">
        <f t="shared" si="26"/>
        <v>0</v>
      </c>
    </row>
    <row r="203" spans="1:17" x14ac:dyDescent="0.2">
      <c r="A203" s="2" t="s">
        <v>59</v>
      </c>
      <c r="B203" s="2" t="s">
        <v>315</v>
      </c>
      <c r="C203" s="376">
        <v>20000</v>
      </c>
      <c r="D203" s="27">
        <v>20000</v>
      </c>
      <c r="E203" s="27">
        <v>20000</v>
      </c>
      <c r="F203" s="27">
        <v>20000</v>
      </c>
      <c r="G203" s="27">
        <v>20000</v>
      </c>
      <c r="H203" s="7">
        <v>0</v>
      </c>
      <c r="I203" s="27"/>
      <c r="J203" s="7"/>
      <c r="K203" s="556"/>
      <c r="L203" s="376">
        <f t="shared" si="38"/>
        <v>0</v>
      </c>
      <c r="M203" s="377"/>
      <c r="N203" s="377"/>
      <c r="P203" s="30"/>
      <c r="Q203" s="31">
        <f t="shared" si="26"/>
        <v>0</v>
      </c>
    </row>
    <row r="204" spans="1:17" x14ac:dyDescent="0.2">
      <c r="A204" s="2"/>
      <c r="B204" s="192" t="s">
        <v>314</v>
      </c>
      <c r="C204" s="400"/>
      <c r="D204" s="409"/>
      <c r="E204" s="27"/>
      <c r="F204" s="27"/>
      <c r="G204" s="27"/>
      <c r="H204" s="7"/>
      <c r="I204" s="27"/>
      <c r="J204" s="7"/>
      <c r="K204" s="7"/>
      <c r="L204" s="376">
        <f t="shared" si="38"/>
        <v>0</v>
      </c>
      <c r="M204" s="377"/>
      <c r="N204" s="377"/>
      <c r="P204" s="30"/>
      <c r="Q204" s="31">
        <f t="shared" si="26"/>
        <v>0</v>
      </c>
    </row>
    <row r="205" spans="1:17" ht="15" x14ac:dyDescent="0.25">
      <c r="A205" s="1"/>
      <c r="B205" s="1" t="s">
        <v>304</v>
      </c>
      <c r="C205" s="380">
        <v>25150</v>
      </c>
      <c r="D205" s="394">
        <v>24120</v>
      </c>
      <c r="E205" s="39">
        <v>23090</v>
      </c>
      <c r="F205" s="39">
        <v>22060</v>
      </c>
      <c r="G205" s="39">
        <v>21030</v>
      </c>
      <c r="H205" s="101">
        <v>0</v>
      </c>
      <c r="I205" s="39">
        <v>3000</v>
      </c>
      <c r="J205" s="101">
        <f>SUM(J202:J204)</f>
        <v>2000</v>
      </c>
      <c r="K205" s="101">
        <f>SUM(K202:K204)</f>
        <v>2000</v>
      </c>
      <c r="L205" s="382">
        <f t="shared" si="38"/>
        <v>-1000</v>
      </c>
      <c r="M205" s="377">
        <f>(IF($S$3=1,J205/I205-1,K205/I205-1))</f>
        <v>-0.33333333333333337</v>
      </c>
      <c r="N205" s="377"/>
      <c r="P205" s="30"/>
      <c r="Q205" s="31">
        <f t="shared" si="26"/>
        <v>0</v>
      </c>
    </row>
    <row r="206" spans="1:17" x14ac:dyDescent="0.2">
      <c r="A206" s="2"/>
      <c r="B206" s="2"/>
      <c r="C206" s="401">
        <v>16732</v>
      </c>
      <c r="D206" s="409"/>
      <c r="E206" s="27"/>
      <c r="F206" s="27"/>
      <c r="G206" s="27"/>
      <c r="H206" s="7"/>
      <c r="I206" s="27"/>
      <c r="J206" s="7"/>
      <c r="K206" s="7"/>
      <c r="L206" s="376">
        <f t="shared" si="38"/>
        <v>0</v>
      </c>
      <c r="M206" s="377"/>
      <c r="N206" s="377"/>
      <c r="P206" s="30"/>
      <c r="Q206" s="31">
        <f t="shared" ref="Q206:Q216" si="39">ROUND(IF(P206="Y",H206*$S$1,0),2)</f>
        <v>0</v>
      </c>
    </row>
    <row r="207" spans="1:17" x14ac:dyDescent="0.2">
      <c r="A207" s="51" t="s">
        <v>446</v>
      </c>
      <c r="B207" s="52" t="s">
        <v>64</v>
      </c>
      <c r="C207" s="376">
        <v>1000</v>
      </c>
      <c r="D207" s="27">
        <v>1000</v>
      </c>
      <c r="E207" s="27">
        <v>4000</v>
      </c>
      <c r="F207" s="27">
        <v>3000</v>
      </c>
      <c r="G207" s="27">
        <v>1200</v>
      </c>
      <c r="H207" s="7">
        <v>500</v>
      </c>
      <c r="I207" s="27">
        <v>0</v>
      </c>
      <c r="J207" s="7">
        <v>1802</v>
      </c>
      <c r="K207" s="7">
        <v>0</v>
      </c>
      <c r="L207" s="376">
        <f t="shared" si="38"/>
        <v>0</v>
      </c>
      <c r="M207" s="377"/>
      <c r="N207" s="377"/>
      <c r="P207" s="30"/>
      <c r="Q207" s="31">
        <f t="shared" si="39"/>
        <v>0</v>
      </c>
    </row>
    <row r="208" spans="1:17" ht="15" x14ac:dyDescent="0.25">
      <c r="A208" s="51"/>
      <c r="B208" s="43" t="s">
        <v>103</v>
      </c>
      <c r="C208" s="382">
        <v>42882</v>
      </c>
      <c r="D208" s="39">
        <v>113885.12</v>
      </c>
      <c r="E208" s="39">
        <v>27090</v>
      </c>
      <c r="F208" s="39">
        <v>25060</v>
      </c>
      <c r="G208" s="39">
        <v>22230</v>
      </c>
      <c r="H208" s="101">
        <v>500</v>
      </c>
      <c r="I208" s="39">
        <v>3000</v>
      </c>
      <c r="J208" s="101">
        <f>J205+J207</f>
        <v>3802</v>
      </c>
      <c r="K208" s="101">
        <f>K205+K207</f>
        <v>2000</v>
      </c>
      <c r="L208" s="382">
        <f t="shared" si="38"/>
        <v>-1000</v>
      </c>
      <c r="M208" s="377">
        <f>(IF($S$3=1,J208/I208-1,K208/I208-1))</f>
        <v>-0.33333333333333337</v>
      </c>
      <c r="N208" s="377"/>
      <c r="P208" s="30"/>
      <c r="Q208" s="31">
        <f t="shared" si="39"/>
        <v>0</v>
      </c>
    </row>
    <row r="209" spans="1:18" ht="15" x14ac:dyDescent="0.25">
      <c r="A209" s="477" t="s">
        <v>303</v>
      </c>
      <c r="B209" s="477"/>
      <c r="C209" s="487"/>
      <c r="D209" s="488"/>
      <c r="E209" s="483"/>
      <c r="F209" s="483"/>
      <c r="G209" s="483"/>
      <c r="H209" s="483"/>
      <c r="I209" s="483"/>
      <c r="J209" s="483"/>
      <c r="K209" s="483"/>
      <c r="L209" s="483"/>
      <c r="M209" s="402"/>
      <c r="N209" s="377"/>
      <c r="P209" s="30"/>
      <c r="Q209" s="31">
        <f t="shared" si="39"/>
        <v>0</v>
      </c>
    </row>
    <row r="210" spans="1:18" x14ac:dyDescent="0.2">
      <c r="A210" s="51" t="s">
        <v>65</v>
      </c>
      <c r="B210" s="52" t="s">
        <v>801</v>
      </c>
      <c r="C210" s="376">
        <v>96369</v>
      </c>
      <c r="D210" s="27">
        <v>85583</v>
      </c>
      <c r="E210" s="27">
        <v>99816</v>
      </c>
      <c r="F210" s="27">
        <v>105303</v>
      </c>
      <c r="G210" s="27">
        <v>115614</v>
      </c>
      <c r="H210" s="7">
        <v>114604</v>
      </c>
      <c r="I210" s="27">
        <v>112702</v>
      </c>
      <c r="J210" s="7">
        <v>141501</v>
      </c>
      <c r="K210" s="7">
        <v>141501</v>
      </c>
      <c r="L210" s="376">
        <f t="shared" ref="L210:L216" si="40">IF($S$3=1,J210-I210,K210-I210)</f>
        <v>28799</v>
      </c>
      <c r="M210" s="377">
        <f t="shared" ref="M210:M216" si="41">(IF($S$3=1,J210/I210-1,K210/I210-1))</f>
        <v>0.25553228869052891</v>
      </c>
      <c r="N210" s="377"/>
      <c r="P210" s="30"/>
      <c r="Q210" s="31">
        <f t="shared" si="39"/>
        <v>0</v>
      </c>
    </row>
    <row r="211" spans="1:18" s="78" customFormat="1" ht="15" x14ac:dyDescent="0.25">
      <c r="A211" s="51" t="s">
        <v>67</v>
      </c>
      <c r="B211" s="52" t="s">
        <v>68</v>
      </c>
      <c r="C211" s="376">
        <v>4000</v>
      </c>
      <c r="D211" s="27">
        <v>5400</v>
      </c>
      <c r="E211" s="27">
        <v>6000</v>
      </c>
      <c r="F211" s="27">
        <v>6500</v>
      </c>
      <c r="G211" s="27">
        <v>6500</v>
      </c>
      <c r="H211" s="7">
        <v>6500</v>
      </c>
      <c r="I211" s="27">
        <v>6500</v>
      </c>
      <c r="J211" s="7">
        <v>4500</v>
      </c>
      <c r="K211" s="7">
        <v>4500</v>
      </c>
      <c r="L211" s="376">
        <f t="shared" si="40"/>
        <v>-2000</v>
      </c>
      <c r="M211" s="377">
        <f t="shared" si="41"/>
        <v>-0.30769230769230771</v>
      </c>
      <c r="N211" s="377"/>
      <c r="O211" s="4"/>
      <c r="P211" s="30"/>
      <c r="Q211" s="31">
        <f t="shared" si="39"/>
        <v>0</v>
      </c>
      <c r="R211" s="4"/>
    </row>
    <row r="212" spans="1:18" s="78" customFormat="1" ht="15" x14ac:dyDescent="0.25">
      <c r="A212" s="51" t="s">
        <v>69</v>
      </c>
      <c r="B212" s="52" t="s">
        <v>898</v>
      </c>
      <c r="C212" s="376"/>
      <c r="D212" s="27"/>
      <c r="E212" s="27"/>
      <c r="F212" s="27"/>
      <c r="G212" s="27"/>
      <c r="H212" s="7"/>
      <c r="I212" s="27"/>
      <c r="J212" s="7">
        <v>392333.44</v>
      </c>
      <c r="K212" s="7">
        <v>392333.44</v>
      </c>
      <c r="L212" s="376">
        <f t="shared" ref="L212" si="42">IF($S$3=1,J212-I212,K212-I212)</f>
        <v>392333.44</v>
      </c>
      <c r="M212" s="377"/>
      <c r="N212" s="377"/>
      <c r="P212" s="30"/>
      <c r="Q212" s="31">
        <f t="shared" ref="Q212" si="43">ROUND(IF(P212="Y",H212*$S$1,0),2)</f>
        <v>0</v>
      </c>
      <c r="R212" s="4"/>
    </row>
    <row r="213" spans="1:18" ht="15" x14ac:dyDescent="0.25">
      <c r="A213" s="51" t="s">
        <v>69</v>
      </c>
      <c r="B213" s="52" t="s">
        <v>899</v>
      </c>
      <c r="C213" s="376">
        <v>365000</v>
      </c>
      <c r="D213" s="27">
        <v>355000</v>
      </c>
      <c r="E213" s="27">
        <v>381000</v>
      </c>
      <c r="F213" s="27">
        <v>401000</v>
      </c>
      <c r="G213" s="27">
        <v>420000</v>
      </c>
      <c r="H213" s="7">
        <v>430000</v>
      </c>
      <c r="I213" s="27">
        <v>435000</v>
      </c>
      <c r="J213" s="7">
        <v>115401.28</v>
      </c>
      <c r="K213" s="7">
        <v>115401.28</v>
      </c>
      <c r="L213" s="376">
        <f t="shared" si="40"/>
        <v>-319598.71999999997</v>
      </c>
      <c r="M213" s="377">
        <f t="shared" si="41"/>
        <v>-0.73470970114942524</v>
      </c>
      <c r="N213" s="377"/>
      <c r="O213" s="78"/>
      <c r="P213" s="30"/>
      <c r="Q213" s="31">
        <f t="shared" si="39"/>
        <v>0</v>
      </c>
      <c r="R213" s="78"/>
    </row>
    <row r="214" spans="1:18" x14ac:dyDescent="0.2">
      <c r="A214" s="51" t="s">
        <v>71</v>
      </c>
      <c r="B214" s="52" t="s">
        <v>485</v>
      </c>
      <c r="C214" s="376">
        <v>37474</v>
      </c>
      <c r="D214" s="27">
        <v>23000</v>
      </c>
      <c r="E214" s="27">
        <v>25000</v>
      </c>
      <c r="F214" s="27">
        <v>25500</v>
      </c>
      <c r="G214" s="27">
        <v>25900</v>
      </c>
      <c r="H214" s="7">
        <v>25900</v>
      </c>
      <c r="I214" s="27">
        <v>25900</v>
      </c>
      <c r="J214" s="7">
        <v>26000</v>
      </c>
      <c r="K214" s="7">
        <v>26000</v>
      </c>
      <c r="L214" s="376">
        <f t="shared" si="40"/>
        <v>100</v>
      </c>
      <c r="M214" s="377">
        <f t="shared" si="41"/>
        <v>3.8610038610038533E-3</v>
      </c>
      <c r="N214" s="19"/>
      <c r="P214" s="30"/>
      <c r="Q214" s="31">
        <f t="shared" si="39"/>
        <v>0</v>
      </c>
    </row>
    <row r="215" spans="1:18" x14ac:dyDescent="0.2">
      <c r="A215" s="25" t="s">
        <v>224</v>
      </c>
      <c r="B215" s="26" t="s">
        <v>858</v>
      </c>
      <c r="C215" s="376">
        <v>52000</v>
      </c>
      <c r="D215" s="27">
        <v>90000</v>
      </c>
      <c r="E215" s="27">
        <v>95500</v>
      </c>
      <c r="F215" s="27">
        <v>95500</v>
      </c>
      <c r="G215" s="27">
        <v>101900</v>
      </c>
      <c r="H215" s="7">
        <v>106000</v>
      </c>
      <c r="I215" s="27">
        <v>110000</v>
      </c>
      <c r="J215" s="7">
        <v>114147</v>
      </c>
      <c r="K215" s="7">
        <v>114147</v>
      </c>
      <c r="L215" s="376">
        <f t="shared" si="40"/>
        <v>4147</v>
      </c>
      <c r="M215" s="377">
        <f t="shared" si="41"/>
        <v>3.7700000000000067E-2</v>
      </c>
      <c r="N215" s="19"/>
      <c r="P215" s="30"/>
      <c r="Q215" s="31">
        <f t="shared" si="39"/>
        <v>0</v>
      </c>
    </row>
    <row r="216" spans="1:18" ht="15" x14ac:dyDescent="0.25">
      <c r="A216" s="51"/>
      <c r="B216" s="43" t="s">
        <v>103</v>
      </c>
      <c r="C216" s="382">
        <v>554843</v>
      </c>
      <c r="D216" s="39">
        <v>558983</v>
      </c>
      <c r="E216" s="39">
        <v>607316</v>
      </c>
      <c r="F216" s="39">
        <v>633803</v>
      </c>
      <c r="G216" s="39">
        <v>669914</v>
      </c>
      <c r="H216" s="101">
        <v>683004</v>
      </c>
      <c r="I216" s="39">
        <v>690102</v>
      </c>
      <c r="J216" s="101">
        <f>SUM(J210:J215)</f>
        <v>793882.72</v>
      </c>
      <c r="K216" s="101">
        <f>SUM(K210:K215)</f>
        <v>793882.72</v>
      </c>
      <c r="L216" s="382">
        <f t="shared" si="40"/>
        <v>103780.71999999997</v>
      </c>
      <c r="M216" s="377">
        <f t="shared" si="41"/>
        <v>0.1503846098113033</v>
      </c>
      <c r="N216" s="19"/>
      <c r="P216" s="107"/>
      <c r="Q216" s="108">
        <f t="shared" si="39"/>
        <v>0</v>
      </c>
    </row>
    <row r="217" spans="1:18" x14ac:dyDescent="0.2">
      <c r="A217" s="84"/>
      <c r="B217" s="403"/>
      <c r="C217" s="404"/>
      <c r="D217" s="408"/>
      <c r="E217" s="405"/>
      <c r="F217" s="405"/>
      <c r="G217" s="405"/>
      <c r="H217" s="406"/>
      <c r="I217" s="405"/>
      <c r="J217" s="406"/>
      <c r="K217" s="406"/>
      <c r="L217" s="376"/>
      <c r="M217" s="377"/>
      <c r="N217" s="19"/>
      <c r="P217" s="265"/>
      <c r="Q217" s="266"/>
    </row>
    <row r="218" spans="1:18" ht="15" x14ac:dyDescent="0.25">
      <c r="A218" s="86"/>
      <c r="B218" s="407" t="s">
        <v>74</v>
      </c>
      <c r="C218" s="397">
        <v>3641940.7300000004</v>
      </c>
      <c r="D218" s="399">
        <v>3824891.2546000001</v>
      </c>
      <c r="E218" s="399">
        <v>3832995.57</v>
      </c>
      <c r="F218" s="399">
        <v>3892941.3200000003</v>
      </c>
      <c r="G218" s="399">
        <v>4050230.54</v>
      </c>
      <c r="H218" s="398">
        <v>4102354.13</v>
      </c>
      <c r="I218" s="399">
        <v>4249882.6300000008</v>
      </c>
      <c r="J218" s="398">
        <f>ROUND(J15+J25+J32+J36+J43+J50+J58+J64+J69+J74+J78+J91+J105+J108+J113+J119+J123+J127+J141+J160+J164+J168+J171+J176+J184+J188+J194+J200+J208+J216,2)</f>
        <v>4509591.88</v>
      </c>
      <c r="K218" s="398">
        <f>ROUND(K15+K25+K32+K36+K43+K50+K58+K64+K69+K74+K78+K91+K105+K108+K113+K119+K123+K127+K141+K160+K164+K168+K171+K176+K184+K188+K194+K200+K208+K216,2)</f>
        <v>4467670.5</v>
      </c>
      <c r="L218" s="382">
        <f>IF($S$3=1,J218-I218,K218-I218)</f>
        <v>217787.86999999918</v>
      </c>
      <c r="M218" s="377">
        <f>(IF($S$3=1,J218/I218-1,K218/I218-1))</f>
        <v>5.1245619929037645E-2</v>
      </c>
      <c r="N218" s="19"/>
      <c r="P218" s="79" t="s">
        <v>103</v>
      </c>
      <c r="Q218" s="106">
        <f>SUM(Q6:Q216)</f>
        <v>6858.4799999999977</v>
      </c>
    </row>
    <row r="219" spans="1:18" x14ac:dyDescent="0.2">
      <c r="A219" s="19"/>
      <c r="B219" s="19"/>
      <c r="C219" s="3"/>
      <c r="D219" s="3"/>
      <c r="E219" s="3"/>
      <c r="F219" s="3"/>
      <c r="G219" s="3"/>
      <c r="H219" s="3"/>
      <c r="I219" s="3"/>
      <c r="J219" s="3"/>
      <c r="K219" s="3"/>
      <c r="L219" s="3"/>
      <c r="N219" s="19"/>
    </row>
    <row r="220" spans="1:18" x14ac:dyDescent="0.2">
      <c r="B220" s="4" t="s">
        <v>657</v>
      </c>
      <c r="D220" s="413">
        <v>5.0234349805028167E-2</v>
      </c>
      <c r="E220" s="413">
        <v>2.1188355068273435E-3</v>
      </c>
      <c r="F220" s="413">
        <v>1.5639399760642103E-2</v>
      </c>
      <c r="G220" s="413">
        <v>4.0403695733076006E-2</v>
      </c>
      <c r="H220" s="413">
        <v>1.2869289657768457E-2</v>
      </c>
      <c r="I220" s="413">
        <v>3.5961912434897769E-2</v>
      </c>
      <c r="J220" s="584">
        <f>ROUND(J218/I218-1,4)</f>
        <v>6.1100000000000002E-2</v>
      </c>
      <c r="K220" s="413">
        <f>ROUND(K218/I218-1,4)</f>
        <v>5.1200000000000002E-2</v>
      </c>
    </row>
    <row r="221" spans="1:18" x14ac:dyDescent="0.2">
      <c r="C221" s="372"/>
      <c r="D221" s="372"/>
      <c r="E221" s="372"/>
      <c r="F221" s="372"/>
      <c r="G221" s="372"/>
      <c r="H221" s="372"/>
      <c r="I221" s="372"/>
      <c r="J221" s="372"/>
      <c r="K221" s="372"/>
    </row>
    <row r="222" spans="1:18" x14ac:dyDescent="0.2">
      <c r="E222" s="80"/>
      <c r="F222" s="80"/>
      <c r="G222" s="80"/>
    </row>
    <row r="223" spans="1:18" x14ac:dyDescent="0.2">
      <c r="E223" s="80"/>
      <c r="F223" s="80"/>
      <c r="G223" s="80"/>
    </row>
    <row r="224" spans="1:18" x14ac:dyDescent="0.2">
      <c r="E224" s="80"/>
      <c r="F224" s="80"/>
      <c r="G224" s="80"/>
    </row>
    <row r="225" spans="5:7" x14ac:dyDescent="0.2">
      <c r="E225" s="80"/>
      <c r="F225" s="80"/>
      <c r="G225" s="80"/>
    </row>
    <row r="226" spans="5:7" x14ac:dyDescent="0.2">
      <c r="E226" s="80"/>
      <c r="F226" s="80"/>
      <c r="G226" s="80"/>
    </row>
    <row r="227" spans="5:7" x14ac:dyDescent="0.2">
      <c r="E227" s="80"/>
      <c r="F227" s="80"/>
      <c r="G227" s="80"/>
    </row>
    <row r="228" spans="5:7" x14ac:dyDescent="0.2">
      <c r="E228" s="80"/>
      <c r="F228" s="80"/>
      <c r="G228" s="80"/>
    </row>
    <row r="229" spans="5:7" x14ac:dyDescent="0.2">
      <c r="E229" s="80"/>
      <c r="F229" s="80"/>
      <c r="G229" s="80"/>
    </row>
    <row r="230" spans="5:7" x14ac:dyDescent="0.2">
      <c r="E230" s="80"/>
      <c r="F230" s="80"/>
      <c r="G230" s="80"/>
    </row>
    <row r="231" spans="5:7" x14ac:dyDescent="0.2">
      <c r="E231" s="80"/>
      <c r="F231" s="80"/>
      <c r="G231" s="80"/>
    </row>
    <row r="232" spans="5:7" x14ac:dyDescent="0.2">
      <c r="E232" s="80"/>
      <c r="F232" s="80"/>
      <c r="G232" s="80"/>
    </row>
    <row r="233" spans="5:7" x14ac:dyDescent="0.2">
      <c r="E233" s="80"/>
      <c r="F233" s="80"/>
      <c r="G233" s="80"/>
    </row>
    <row r="234" spans="5:7" x14ac:dyDescent="0.2">
      <c r="E234" s="80"/>
      <c r="F234" s="80"/>
      <c r="G234" s="80"/>
    </row>
    <row r="235" spans="5:7" x14ac:dyDescent="0.2">
      <c r="E235" s="80"/>
      <c r="F235" s="80"/>
      <c r="G235" s="80"/>
    </row>
    <row r="236" spans="5:7" x14ac:dyDescent="0.2">
      <c r="E236" s="80"/>
      <c r="F236" s="80"/>
      <c r="G236" s="80"/>
    </row>
    <row r="237" spans="5:7" x14ac:dyDescent="0.2">
      <c r="E237" s="80"/>
      <c r="F237" s="80"/>
      <c r="G237" s="80"/>
    </row>
    <row r="238" spans="5:7" x14ac:dyDescent="0.2">
      <c r="E238" s="80"/>
      <c r="F238" s="80"/>
      <c r="G238" s="80"/>
    </row>
    <row r="239" spans="5:7" x14ac:dyDescent="0.2">
      <c r="E239" s="80"/>
      <c r="F239" s="80"/>
      <c r="G239" s="80"/>
    </row>
    <row r="240" spans="5:7" x14ac:dyDescent="0.2">
      <c r="E240" s="80"/>
      <c r="F240" s="80"/>
      <c r="G240" s="80"/>
    </row>
    <row r="241" spans="5:7" x14ac:dyDescent="0.2">
      <c r="E241" s="80"/>
      <c r="F241" s="80"/>
      <c r="G241" s="80"/>
    </row>
    <row r="242" spans="5:7" x14ac:dyDescent="0.2">
      <c r="E242" s="80"/>
      <c r="F242" s="80"/>
      <c r="G242" s="80"/>
    </row>
    <row r="243" spans="5:7" x14ac:dyDescent="0.2">
      <c r="E243" s="80"/>
      <c r="F243" s="80"/>
      <c r="G243" s="80"/>
    </row>
    <row r="244" spans="5:7" x14ac:dyDescent="0.2">
      <c r="E244" s="80"/>
      <c r="F244" s="80"/>
      <c r="G244" s="80"/>
    </row>
    <row r="245" spans="5:7" x14ac:dyDescent="0.2">
      <c r="E245" s="80"/>
      <c r="F245" s="80"/>
      <c r="G245" s="80"/>
    </row>
    <row r="246" spans="5:7" x14ac:dyDescent="0.2">
      <c r="E246" s="80"/>
      <c r="F246" s="80"/>
      <c r="G246" s="80"/>
    </row>
    <row r="247" spans="5:7" x14ac:dyDescent="0.2">
      <c r="E247" s="80"/>
      <c r="F247" s="80"/>
      <c r="G247" s="80"/>
    </row>
    <row r="248" spans="5:7" x14ac:dyDescent="0.2">
      <c r="E248" s="80"/>
      <c r="F248" s="80"/>
      <c r="G248" s="80"/>
    </row>
    <row r="249" spans="5:7" x14ac:dyDescent="0.2">
      <c r="E249" s="80"/>
      <c r="F249" s="80"/>
      <c r="G249" s="80"/>
    </row>
    <row r="250" spans="5:7" x14ac:dyDescent="0.2">
      <c r="E250" s="80"/>
      <c r="F250" s="80"/>
      <c r="G250" s="80"/>
    </row>
    <row r="251" spans="5:7" x14ac:dyDescent="0.2">
      <c r="E251" s="80"/>
      <c r="F251" s="80"/>
      <c r="G251" s="80"/>
    </row>
    <row r="252" spans="5:7" x14ac:dyDescent="0.2">
      <c r="E252" s="80"/>
      <c r="F252" s="80"/>
      <c r="G252" s="80"/>
    </row>
    <row r="253" spans="5:7" x14ac:dyDescent="0.2">
      <c r="E253" s="80"/>
      <c r="F253" s="80"/>
      <c r="G253" s="80"/>
    </row>
    <row r="254" spans="5:7" x14ac:dyDescent="0.2">
      <c r="E254" s="80"/>
      <c r="F254" s="80"/>
      <c r="G254" s="80"/>
    </row>
    <row r="255" spans="5:7" x14ac:dyDescent="0.2">
      <c r="E255" s="80"/>
      <c r="F255" s="80"/>
      <c r="G255" s="80"/>
    </row>
    <row r="256" spans="5:7" x14ac:dyDescent="0.2">
      <c r="E256" s="80"/>
      <c r="F256" s="80"/>
      <c r="G256" s="80"/>
    </row>
    <row r="257" spans="5:7" x14ac:dyDescent="0.2">
      <c r="E257" s="80"/>
      <c r="F257" s="80"/>
      <c r="G257" s="80"/>
    </row>
    <row r="258" spans="5:7" x14ac:dyDescent="0.2">
      <c r="E258" s="80"/>
      <c r="F258" s="80"/>
      <c r="G258" s="80"/>
    </row>
    <row r="259" spans="5:7" x14ac:dyDescent="0.2">
      <c r="E259" s="80"/>
      <c r="F259" s="80"/>
      <c r="G259" s="80"/>
    </row>
    <row r="260" spans="5:7" x14ac:dyDescent="0.2">
      <c r="E260" s="80"/>
      <c r="F260" s="80"/>
      <c r="G260" s="80"/>
    </row>
    <row r="261" spans="5:7" x14ac:dyDescent="0.2">
      <c r="E261" s="80"/>
      <c r="F261" s="80"/>
      <c r="G261" s="80"/>
    </row>
    <row r="262" spans="5:7" x14ac:dyDescent="0.2">
      <c r="E262" s="80"/>
      <c r="F262" s="80"/>
      <c r="G262" s="80"/>
    </row>
    <row r="263" spans="5:7" x14ac:dyDescent="0.2">
      <c r="E263" s="80"/>
      <c r="F263" s="80"/>
      <c r="G263" s="80"/>
    </row>
    <row r="264" spans="5:7" x14ac:dyDescent="0.2">
      <c r="E264" s="80"/>
      <c r="F264" s="80"/>
      <c r="G264" s="80"/>
    </row>
    <row r="265" spans="5:7" x14ac:dyDescent="0.2">
      <c r="E265" s="80"/>
      <c r="F265" s="80"/>
      <c r="G265" s="80"/>
    </row>
    <row r="266" spans="5:7" x14ac:dyDescent="0.2">
      <c r="E266" s="80"/>
      <c r="F266" s="80"/>
      <c r="G266" s="80"/>
    </row>
    <row r="267" spans="5:7" x14ac:dyDescent="0.2">
      <c r="E267" s="80"/>
      <c r="F267" s="80"/>
      <c r="G267" s="80"/>
    </row>
    <row r="268" spans="5:7" x14ac:dyDescent="0.2">
      <c r="E268" s="80"/>
      <c r="F268" s="80"/>
      <c r="G268" s="80"/>
    </row>
    <row r="269" spans="5:7" x14ac:dyDescent="0.2">
      <c r="E269" s="80"/>
      <c r="F269" s="80"/>
      <c r="G269" s="80"/>
    </row>
    <row r="270" spans="5:7" x14ac:dyDescent="0.2">
      <c r="E270" s="80"/>
      <c r="F270" s="80"/>
      <c r="G270" s="80"/>
    </row>
    <row r="271" spans="5:7" x14ac:dyDescent="0.2">
      <c r="E271" s="80"/>
      <c r="F271" s="80"/>
      <c r="G271" s="80"/>
    </row>
    <row r="272" spans="5:7" x14ac:dyDescent="0.2">
      <c r="E272" s="80"/>
      <c r="F272" s="80"/>
      <c r="G272" s="80"/>
    </row>
    <row r="273" spans="5:7" x14ac:dyDescent="0.2">
      <c r="E273" s="80"/>
      <c r="F273" s="80"/>
      <c r="G273" s="80"/>
    </row>
    <row r="274" spans="5:7" x14ac:dyDescent="0.2">
      <c r="E274" s="80"/>
      <c r="F274" s="80"/>
      <c r="G274" s="80"/>
    </row>
    <row r="275" spans="5:7" x14ac:dyDescent="0.2">
      <c r="E275" s="80"/>
      <c r="F275" s="80"/>
      <c r="G275" s="80"/>
    </row>
    <row r="276" spans="5:7" x14ac:dyDescent="0.2">
      <c r="E276" s="80"/>
      <c r="F276" s="80"/>
      <c r="G276" s="80"/>
    </row>
    <row r="277" spans="5:7" x14ac:dyDescent="0.2">
      <c r="E277" s="80"/>
      <c r="F277" s="80"/>
      <c r="G277" s="80"/>
    </row>
    <row r="278" spans="5:7" x14ac:dyDescent="0.2">
      <c r="E278" s="80"/>
      <c r="F278" s="80"/>
      <c r="G278" s="80"/>
    </row>
    <row r="279" spans="5:7" x14ac:dyDescent="0.2">
      <c r="E279" s="80"/>
      <c r="F279" s="80"/>
      <c r="G279" s="80"/>
    </row>
    <row r="280" spans="5:7" x14ac:dyDescent="0.2">
      <c r="E280" s="80"/>
      <c r="F280" s="80"/>
      <c r="G280" s="80"/>
    </row>
    <row r="281" spans="5:7" x14ac:dyDescent="0.2">
      <c r="E281" s="80"/>
      <c r="F281" s="80"/>
      <c r="G281" s="80"/>
    </row>
    <row r="282" spans="5:7" x14ac:dyDescent="0.2">
      <c r="E282" s="80"/>
      <c r="F282" s="80"/>
      <c r="G282" s="80"/>
    </row>
    <row r="283" spans="5:7" x14ac:dyDescent="0.2">
      <c r="E283" s="80"/>
      <c r="F283" s="80"/>
      <c r="G283" s="80"/>
    </row>
    <row r="284" spans="5:7" x14ac:dyDescent="0.2">
      <c r="E284" s="80"/>
      <c r="F284" s="80"/>
      <c r="G284" s="80"/>
    </row>
    <row r="285" spans="5:7" x14ac:dyDescent="0.2">
      <c r="E285" s="80"/>
      <c r="F285" s="80"/>
      <c r="G285" s="80"/>
    </row>
    <row r="286" spans="5:7" x14ac:dyDescent="0.2">
      <c r="E286" s="80"/>
      <c r="F286" s="80"/>
      <c r="G286" s="80"/>
    </row>
    <row r="287" spans="5:7" x14ac:dyDescent="0.2">
      <c r="E287" s="80"/>
      <c r="F287" s="80"/>
      <c r="G287" s="80"/>
    </row>
    <row r="288" spans="5:7" x14ac:dyDescent="0.2">
      <c r="E288" s="80"/>
      <c r="F288" s="80"/>
      <c r="G288" s="80"/>
    </row>
    <row r="289" spans="5:7" x14ac:dyDescent="0.2">
      <c r="E289" s="80"/>
      <c r="F289" s="80"/>
      <c r="G289" s="80"/>
    </row>
    <row r="290" spans="5:7" x14ac:dyDescent="0.2">
      <c r="E290" s="80"/>
      <c r="F290" s="80"/>
      <c r="G290" s="80"/>
    </row>
    <row r="291" spans="5:7" x14ac:dyDescent="0.2">
      <c r="E291" s="80"/>
      <c r="F291" s="80"/>
      <c r="G291" s="80"/>
    </row>
    <row r="292" spans="5:7" x14ac:dyDescent="0.2">
      <c r="E292" s="80"/>
      <c r="F292" s="80"/>
      <c r="G292" s="80"/>
    </row>
    <row r="293" spans="5:7" x14ac:dyDescent="0.2">
      <c r="E293" s="80"/>
      <c r="F293" s="80"/>
      <c r="G293" s="80"/>
    </row>
    <row r="294" spans="5:7" x14ac:dyDescent="0.2">
      <c r="E294" s="80"/>
      <c r="F294" s="80"/>
      <c r="G294" s="80"/>
    </row>
    <row r="295" spans="5:7" x14ac:dyDescent="0.2">
      <c r="E295" s="80"/>
      <c r="F295" s="80"/>
      <c r="G295" s="80"/>
    </row>
    <row r="296" spans="5:7" x14ac:dyDescent="0.2">
      <c r="E296" s="80"/>
      <c r="F296" s="80"/>
      <c r="G296" s="80"/>
    </row>
    <row r="297" spans="5:7" x14ac:dyDescent="0.2">
      <c r="E297" s="80"/>
      <c r="F297" s="80"/>
      <c r="G297" s="80"/>
    </row>
    <row r="298" spans="5:7" x14ac:dyDescent="0.2">
      <c r="E298" s="80"/>
      <c r="F298" s="80"/>
      <c r="G298" s="80"/>
    </row>
    <row r="299" spans="5:7" x14ac:dyDescent="0.2">
      <c r="E299" s="80"/>
      <c r="F299" s="80"/>
      <c r="G299" s="80"/>
    </row>
    <row r="300" spans="5:7" x14ac:dyDescent="0.2">
      <c r="E300" s="80"/>
      <c r="F300" s="80"/>
      <c r="G300" s="80"/>
    </row>
    <row r="301" spans="5:7" x14ac:dyDescent="0.2">
      <c r="E301" s="80"/>
      <c r="F301" s="80"/>
      <c r="G301" s="80"/>
    </row>
    <row r="302" spans="5:7" x14ac:dyDescent="0.2">
      <c r="E302" s="80"/>
      <c r="F302" s="80"/>
      <c r="G302" s="80"/>
    </row>
    <row r="303" spans="5:7" x14ac:dyDescent="0.2">
      <c r="E303" s="80"/>
      <c r="F303" s="80"/>
      <c r="G303" s="80"/>
    </row>
    <row r="304" spans="5:7" x14ac:dyDescent="0.2">
      <c r="E304" s="80"/>
      <c r="F304" s="80"/>
      <c r="G304" s="80"/>
    </row>
    <row r="305" spans="5:7" x14ac:dyDescent="0.2">
      <c r="E305" s="80"/>
      <c r="F305" s="80"/>
      <c r="G305" s="80"/>
    </row>
    <row r="306" spans="5:7" x14ac:dyDescent="0.2">
      <c r="E306" s="80"/>
      <c r="F306" s="80"/>
      <c r="G306" s="80"/>
    </row>
    <row r="307" spans="5:7" x14ac:dyDescent="0.2">
      <c r="E307" s="80"/>
      <c r="F307" s="80"/>
      <c r="G307" s="80"/>
    </row>
    <row r="308" spans="5:7" x14ac:dyDescent="0.2">
      <c r="E308" s="80"/>
      <c r="F308" s="80"/>
      <c r="G308" s="80"/>
    </row>
    <row r="309" spans="5:7" x14ac:dyDescent="0.2">
      <c r="E309" s="80"/>
      <c r="F309" s="80"/>
      <c r="G309" s="80"/>
    </row>
    <row r="310" spans="5:7" x14ac:dyDescent="0.2">
      <c r="E310" s="80"/>
      <c r="F310" s="80"/>
      <c r="G310" s="80"/>
    </row>
    <row r="311" spans="5:7" x14ac:dyDescent="0.2">
      <c r="E311" s="80"/>
      <c r="F311" s="80"/>
      <c r="G311" s="80"/>
    </row>
    <row r="312" spans="5:7" x14ac:dyDescent="0.2">
      <c r="E312" s="80"/>
      <c r="F312" s="80"/>
      <c r="G312" s="80"/>
    </row>
    <row r="313" spans="5:7" x14ac:dyDescent="0.2">
      <c r="E313" s="80"/>
      <c r="F313" s="80"/>
      <c r="G313" s="80"/>
    </row>
    <row r="314" spans="5:7" x14ac:dyDescent="0.2">
      <c r="E314" s="80"/>
      <c r="F314" s="80"/>
      <c r="G314" s="80"/>
    </row>
    <row r="315" spans="5:7" x14ac:dyDescent="0.2">
      <c r="E315" s="80"/>
      <c r="F315" s="80"/>
      <c r="G315" s="80"/>
    </row>
    <row r="316" spans="5:7" x14ac:dyDescent="0.2">
      <c r="E316" s="80"/>
      <c r="F316" s="80"/>
      <c r="G316" s="80"/>
    </row>
    <row r="317" spans="5:7" x14ac:dyDescent="0.2">
      <c r="E317" s="80"/>
      <c r="F317" s="80"/>
      <c r="G317" s="80"/>
    </row>
  </sheetData>
  <mergeCells count="10">
    <mergeCell ref="F1:H2"/>
    <mergeCell ref="X3:Z3"/>
    <mergeCell ref="T3:V3"/>
    <mergeCell ref="T4:V4"/>
    <mergeCell ref="T1:V1"/>
    <mergeCell ref="J1:L1"/>
    <mergeCell ref="O1:P1"/>
    <mergeCell ref="O2:P2"/>
    <mergeCell ref="P3:P4"/>
    <mergeCell ref="Q3:Q4"/>
  </mergeCells>
  <dataValidations disablePrompts="1" count="1">
    <dataValidation type="decimal" operator="equal" allowBlank="1" showInputMessage="1" showErrorMessage="1" errorTitle="Value Cannot be Deleted" error="Change the percent in Cell Q1 to determine the impact of an accross-the-board increase percent." promptTitle="Do not delete/edit" sqref="Q1">
      <formula1>Q218</formula1>
    </dataValidation>
  </dataValidations>
  <pageMargins left="0.7" right="0.7" top="0.75" bottom="0.75" header="0.3" footer="0.3"/>
  <pageSetup scale="70" orientation="landscape" r:id="rId1"/>
  <headerFooter>
    <oddFooter>&amp;L&amp;F&amp;CPage &amp;P of &amp;N&amp;RPrinted: &amp;D</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opLeftCell="A4" workbookViewId="0">
      <selection activeCell="N14" sqref="N14"/>
    </sheetView>
  </sheetViews>
  <sheetFormatPr defaultRowHeight="15" x14ac:dyDescent="0.2"/>
  <cols>
    <col min="12" max="12" width="4.21875" customWidth="1"/>
    <col min="13" max="13" width="27.109375" customWidth="1"/>
    <col min="14" max="14" width="13.5546875" bestFit="1" customWidth="1"/>
    <col min="15" max="15" width="8.88671875" customWidth="1"/>
    <col min="25" max="25" width="17" bestFit="1" customWidth="1"/>
    <col min="26" max="26" width="12" bestFit="1" customWidth="1"/>
  </cols>
  <sheetData>
    <row r="1" spans="1:15" ht="15.75" x14ac:dyDescent="0.25">
      <c r="A1" s="460"/>
      <c r="B1" s="460"/>
      <c r="C1" s="460"/>
      <c r="D1" s="460"/>
      <c r="E1" s="460"/>
      <c r="F1" s="460"/>
      <c r="G1" s="449"/>
      <c r="H1" s="460"/>
      <c r="I1" s="460"/>
    </row>
    <row r="2" spans="1:15" ht="15.75" x14ac:dyDescent="0.25">
      <c r="A2" s="460"/>
      <c r="B2" s="460"/>
      <c r="C2" s="460"/>
      <c r="D2" s="460"/>
      <c r="E2" s="460"/>
      <c r="F2" s="460"/>
      <c r="G2" s="460"/>
      <c r="H2" s="460"/>
      <c r="I2" s="460"/>
      <c r="M2" s="464" t="s">
        <v>717</v>
      </c>
    </row>
    <row r="3" spans="1:15" ht="15.75" x14ac:dyDescent="0.25">
      <c r="A3" s="460"/>
      <c r="B3" s="460"/>
      <c r="C3" s="460"/>
      <c r="D3" s="460"/>
      <c r="E3" s="460"/>
      <c r="F3" s="460"/>
      <c r="G3" s="460"/>
      <c r="H3" s="460"/>
      <c r="I3" s="460"/>
    </row>
    <row r="4" spans="1:15" ht="15.75" x14ac:dyDescent="0.25">
      <c r="F4" s="440"/>
      <c r="G4" s="440"/>
      <c r="H4" s="440"/>
      <c r="I4" s="440"/>
      <c r="J4" s="440"/>
      <c r="M4" s="363" t="s">
        <v>660</v>
      </c>
      <c r="N4" s="363" t="s">
        <v>661</v>
      </c>
      <c r="O4" s="363" t="s">
        <v>857</v>
      </c>
    </row>
    <row r="5" spans="1:15" x14ac:dyDescent="0.2">
      <c r="F5" s="440"/>
      <c r="G5" s="440"/>
      <c r="H5" s="440"/>
      <c r="I5" s="440"/>
      <c r="J5" s="440"/>
      <c r="M5" t="s">
        <v>666</v>
      </c>
      <c r="N5" s="414">
        <f>'FY19 Budget Details'!K15+'FY19 Budget Details'!K25</f>
        <v>197946.6974</v>
      </c>
      <c r="O5" s="558">
        <f>N5/$N$16</f>
        <v>4.430646741689221E-2</v>
      </c>
    </row>
    <row r="6" spans="1:15" x14ac:dyDescent="0.2">
      <c r="F6" s="440"/>
      <c r="G6" s="440"/>
      <c r="H6" s="440"/>
      <c r="I6" s="440"/>
      <c r="J6" s="440"/>
      <c r="M6" t="s">
        <v>667</v>
      </c>
      <c r="N6" s="414">
        <f>'FY19 Budget Details'!K32+'FY19 Budget Details'!K43+'FY19 Budget Details'!K58+'FY19 Budget Details'!K64+'FY19 Budget Details'!K127</f>
        <v>162340.5618</v>
      </c>
      <c r="O6" s="558">
        <f t="shared" ref="O6:O14" si="0">N6/$N$16</f>
        <v>3.6336735627859357E-2</v>
      </c>
    </row>
    <row r="7" spans="1:15" x14ac:dyDescent="0.2">
      <c r="F7" s="440"/>
      <c r="G7" s="440"/>
      <c r="H7" s="440"/>
      <c r="I7" s="440"/>
      <c r="J7" s="440"/>
      <c r="M7" t="s">
        <v>664</v>
      </c>
      <c r="N7" s="414">
        <f>'FY19 Budget Details'!K36+'FY19 Budget Details'!K50+'FY19 Budget Details'!K69+'FY19 Budget Details'!K74+'FY19 Budget Details'!K78+'FY19 Budget Details'!K168+'FY19 Budget Details'!K176+'FY19 Budget Details'!K200</f>
        <v>125684.602</v>
      </c>
      <c r="O7" s="558">
        <f t="shared" si="0"/>
        <v>2.8132021379802342E-2</v>
      </c>
    </row>
    <row r="8" spans="1:15" x14ac:dyDescent="0.2">
      <c r="F8" s="440"/>
      <c r="G8" s="440"/>
      <c r="H8" s="440"/>
      <c r="I8" s="440"/>
      <c r="J8" s="440"/>
      <c r="M8" t="s">
        <v>665</v>
      </c>
      <c r="N8" s="414">
        <f>'FY19 Budget Details'!K160+'FY19 Budget Details'!K171+'FY19 Budget Details'!K164</f>
        <v>284009.01520000002</v>
      </c>
      <c r="O8" s="558">
        <f t="shared" si="0"/>
        <v>6.3569821286962494E-2</v>
      </c>
    </row>
    <row r="9" spans="1:15" x14ac:dyDescent="0.2">
      <c r="F9" s="440"/>
      <c r="G9" s="440"/>
      <c r="H9" s="440"/>
      <c r="I9" s="440"/>
      <c r="J9" s="440"/>
      <c r="M9" t="s">
        <v>663</v>
      </c>
      <c r="N9" s="414">
        <f>'FY19 Budget Details'!K91+'FY19 Budget Details'!K105+'FY19 Budget Details'!K108+'FY19 Budget Details'!K113+'FY19 Budget Details'!K119+'FY19 Budget Details'!K123</f>
        <v>248847.61835</v>
      </c>
      <c r="O9" s="558">
        <f t="shared" si="0"/>
        <v>5.5699635502963953E-2</v>
      </c>
    </row>
    <row r="10" spans="1:15" x14ac:dyDescent="0.2">
      <c r="F10" s="440"/>
      <c r="G10" s="440"/>
      <c r="H10" s="440"/>
      <c r="I10" s="440"/>
      <c r="J10" s="440"/>
      <c r="M10" t="s">
        <v>668</v>
      </c>
      <c r="N10" s="414">
        <f>'FY19 Budget Details'!K184</f>
        <v>50094.804400000001</v>
      </c>
      <c r="O10" s="558">
        <f t="shared" si="0"/>
        <v>1.1212734781925129E-2</v>
      </c>
    </row>
    <row r="11" spans="1:15" x14ac:dyDescent="0.2">
      <c r="F11" s="440"/>
      <c r="G11" s="440"/>
      <c r="H11" s="440"/>
      <c r="I11" s="440"/>
      <c r="J11" s="440"/>
      <c r="M11" t="s">
        <v>601</v>
      </c>
      <c r="N11" s="414">
        <f>'FY19 Budget Details'!K194</f>
        <v>52008</v>
      </c>
      <c r="O11" s="558">
        <f t="shared" si="0"/>
        <v>1.1640965914987424E-2</v>
      </c>
    </row>
    <row r="12" spans="1:15" x14ac:dyDescent="0.2">
      <c r="F12" s="440"/>
      <c r="G12" s="440"/>
      <c r="H12" s="440"/>
      <c r="I12" s="440"/>
      <c r="J12" s="440"/>
      <c r="M12" t="s">
        <v>662</v>
      </c>
      <c r="N12" s="414">
        <f>'FY19 Budget Details'!K141</f>
        <v>2522932</v>
      </c>
      <c r="O12" s="558">
        <f t="shared" si="0"/>
        <v>0.56470861055666544</v>
      </c>
    </row>
    <row r="13" spans="1:15" x14ac:dyDescent="0.2">
      <c r="F13" s="440"/>
      <c r="G13" s="440"/>
      <c r="H13" s="440"/>
      <c r="I13" s="440"/>
      <c r="J13" s="440"/>
      <c r="M13" t="s">
        <v>669</v>
      </c>
      <c r="N13" s="462">
        <f>'FY19 Budget Details'!K210+'FY19 Budget Details'!K211+'FY19 Budget Details'!K212+'FY19 Budget Details'!K213+'FY19 Budget Details'!K214+'FY19 Budget Details'!K188</f>
        <v>707660.2</v>
      </c>
      <c r="O13" s="558">
        <f t="shared" si="0"/>
        <v>0.15839579040903676</v>
      </c>
    </row>
    <row r="14" spans="1:15" x14ac:dyDescent="0.2">
      <c r="F14" s="440"/>
      <c r="G14" s="440"/>
      <c r="H14" s="440"/>
      <c r="I14" s="440"/>
      <c r="J14" s="440"/>
      <c r="M14" t="s">
        <v>670</v>
      </c>
      <c r="N14" s="461">
        <f>'FY19 Budget Details'!K215+'FY19 Budget Details'!K208</f>
        <v>116147</v>
      </c>
      <c r="O14" s="558">
        <f t="shared" si="0"/>
        <v>2.5997217122905023E-2</v>
      </c>
    </row>
    <row r="15" spans="1:15" x14ac:dyDescent="0.2">
      <c r="F15" s="440"/>
      <c r="G15" s="440"/>
      <c r="H15" s="440"/>
      <c r="I15" s="440"/>
      <c r="J15" s="440"/>
    </row>
    <row r="16" spans="1:15" ht="15.75" x14ac:dyDescent="0.25">
      <c r="F16" s="440"/>
      <c r="G16" s="440"/>
      <c r="H16" s="440"/>
      <c r="I16" s="440"/>
      <c r="J16" s="440"/>
      <c r="M16" s="463" t="s">
        <v>103</v>
      </c>
      <c r="N16" s="587">
        <f>SUM(N5:N14)</f>
        <v>4467670.4991499996</v>
      </c>
    </row>
    <row r="17" spans="6:14" x14ac:dyDescent="0.2">
      <c r="F17" s="440"/>
      <c r="G17" s="440"/>
      <c r="H17" s="440"/>
      <c r="I17" s="440"/>
      <c r="J17" s="440"/>
    </row>
    <row r="18" spans="6:14" x14ac:dyDescent="0.2">
      <c r="F18" s="440"/>
      <c r="G18" s="440"/>
      <c r="H18" s="440"/>
      <c r="I18" s="440"/>
      <c r="J18" s="440"/>
    </row>
    <row r="19" spans="6:14" x14ac:dyDescent="0.2">
      <c r="F19" s="440"/>
      <c r="G19" s="440"/>
      <c r="H19" s="440"/>
      <c r="I19" s="440"/>
      <c r="J19" s="440"/>
      <c r="M19" s="632" t="str">
        <f>IF(AND('FY19 Budget Details'!S3=2,N16&lt;'FY19 Budget Details'!H218),"All the Proposed Values have not yet been determined; probably wouldn't be a good idea to use this chart just yet :)","")</f>
        <v/>
      </c>
      <c r="N19" s="632"/>
    </row>
    <row r="20" spans="6:14" ht="15" customHeight="1" x14ac:dyDescent="0.2">
      <c r="F20" s="440"/>
      <c r="G20" s="440"/>
      <c r="H20" s="440"/>
      <c r="I20" s="440"/>
      <c r="J20" s="440"/>
      <c r="M20" s="632"/>
      <c r="N20" s="632"/>
    </row>
    <row r="21" spans="6:14" ht="15" customHeight="1" x14ac:dyDescent="0.2">
      <c r="F21" s="440"/>
      <c r="G21" s="440"/>
      <c r="H21" s="440"/>
      <c r="I21" s="440"/>
      <c r="J21" s="440"/>
      <c r="M21" s="632"/>
      <c r="N21" s="632"/>
    </row>
    <row r="22" spans="6:14" ht="15" customHeight="1" x14ac:dyDescent="0.2">
      <c r="F22" s="440"/>
      <c r="G22" s="440"/>
      <c r="H22" s="440"/>
      <c r="I22" s="440"/>
      <c r="J22" s="440"/>
      <c r="M22" s="632"/>
      <c r="N22" s="632"/>
    </row>
    <row r="23" spans="6:14" ht="15" customHeight="1" x14ac:dyDescent="0.2">
      <c r="F23" s="440"/>
      <c r="G23" s="440"/>
      <c r="H23" s="440"/>
      <c r="I23" s="440"/>
      <c r="J23" s="440"/>
      <c r="M23" s="632"/>
      <c r="N23" s="632"/>
    </row>
    <row r="24" spans="6:14" x14ac:dyDescent="0.2">
      <c r="F24" s="440"/>
      <c r="G24" s="440"/>
      <c r="H24" s="440"/>
      <c r="I24" s="440"/>
      <c r="J24" s="440"/>
    </row>
    <row r="25" spans="6:14" x14ac:dyDescent="0.2">
      <c r="F25" s="440"/>
      <c r="G25" s="440"/>
      <c r="H25" s="440"/>
      <c r="I25" s="440"/>
      <c r="J25" s="440"/>
    </row>
    <row r="26" spans="6:14" x14ac:dyDescent="0.2">
      <c r="F26" s="440"/>
      <c r="G26" s="440"/>
      <c r="H26" s="440"/>
      <c r="I26" s="440"/>
      <c r="J26" s="440"/>
    </row>
    <row r="27" spans="6:14" x14ac:dyDescent="0.2">
      <c r="F27" s="440"/>
      <c r="G27" s="440"/>
      <c r="H27" s="440"/>
      <c r="I27" s="440"/>
      <c r="J27" s="440"/>
    </row>
    <row r="28" spans="6:14" x14ac:dyDescent="0.2">
      <c r="F28" s="440"/>
      <c r="G28" s="440"/>
      <c r="H28" s="440"/>
      <c r="I28" s="440"/>
      <c r="J28" s="440"/>
    </row>
    <row r="29" spans="6:14" x14ac:dyDescent="0.2">
      <c r="F29" s="440"/>
      <c r="G29" s="440"/>
      <c r="H29" s="440"/>
      <c r="I29" s="440"/>
      <c r="J29" s="440"/>
    </row>
    <row r="30" spans="6:14" x14ac:dyDescent="0.2">
      <c r="F30" s="440"/>
      <c r="G30" s="440"/>
      <c r="H30" s="440"/>
      <c r="I30" s="440"/>
      <c r="J30" s="440"/>
    </row>
    <row r="31" spans="6:14" x14ac:dyDescent="0.2">
      <c r="F31" s="440"/>
      <c r="G31" s="440"/>
      <c r="H31" s="440"/>
      <c r="I31" s="440"/>
      <c r="J31" s="440"/>
    </row>
    <row r="32" spans="6:14" x14ac:dyDescent="0.2">
      <c r="F32" s="440"/>
      <c r="G32" s="440"/>
      <c r="H32" s="440"/>
      <c r="I32" s="440"/>
      <c r="J32" s="440"/>
    </row>
    <row r="33" spans="6:10" x14ac:dyDescent="0.2">
      <c r="F33" s="440"/>
      <c r="G33" s="440"/>
      <c r="H33" s="440"/>
      <c r="I33" s="440"/>
      <c r="J33" s="440"/>
    </row>
  </sheetData>
  <mergeCells count="1">
    <mergeCell ref="M19:N23"/>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zoomScaleNormal="100" workbookViewId="0">
      <selection activeCell="C10" sqref="C10"/>
    </sheetView>
  </sheetViews>
  <sheetFormatPr defaultRowHeight="15" x14ac:dyDescent="0.2"/>
  <cols>
    <col min="1" max="1" width="9.109375" customWidth="1"/>
    <col min="2" max="2" width="10.109375" style="529" customWidth="1"/>
    <col min="3" max="3" width="11.5546875" style="465" customWidth="1"/>
    <col min="4" max="4" width="19.88671875" customWidth="1"/>
    <col min="5" max="5" width="18.33203125" customWidth="1"/>
    <col min="6" max="6" width="59.21875" customWidth="1"/>
  </cols>
  <sheetData>
    <row r="1" spans="1:6" ht="15.75" x14ac:dyDescent="0.25">
      <c r="A1" s="363" t="s">
        <v>718</v>
      </c>
      <c r="B1" s="463"/>
    </row>
    <row r="2" spans="1:6" ht="15.75" x14ac:dyDescent="0.25">
      <c r="A2" s="363"/>
      <c r="B2" s="463"/>
    </row>
    <row r="3" spans="1:6" ht="15.75" x14ac:dyDescent="0.25">
      <c r="A3" s="468" t="s">
        <v>872</v>
      </c>
      <c r="B3" s="527"/>
      <c r="C3" s="469"/>
      <c r="D3" s="468"/>
      <c r="E3" s="468"/>
      <c r="F3" s="468"/>
    </row>
    <row r="4" spans="1:6" s="466" customFormat="1" x14ac:dyDescent="0.25">
      <c r="A4" s="530" t="s">
        <v>743</v>
      </c>
      <c r="B4" s="531" t="s">
        <v>725</v>
      </c>
      <c r="C4" s="532" t="s">
        <v>661</v>
      </c>
      <c r="D4" s="530" t="s">
        <v>720</v>
      </c>
      <c r="E4" s="530" t="s">
        <v>748</v>
      </c>
      <c r="F4" s="530" t="s">
        <v>721</v>
      </c>
    </row>
    <row r="5" spans="1:6" x14ac:dyDescent="0.2">
      <c r="A5" s="533" t="s">
        <v>719</v>
      </c>
      <c r="B5" s="534">
        <v>42917</v>
      </c>
      <c r="C5" s="535">
        <v>34500</v>
      </c>
      <c r="D5" s="533" t="s">
        <v>723</v>
      </c>
      <c r="E5" s="533" t="s">
        <v>723</v>
      </c>
      <c r="F5" s="583" t="s">
        <v>723</v>
      </c>
    </row>
    <row r="6" spans="1:6" x14ac:dyDescent="0.2">
      <c r="A6" s="533" t="s">
        <v>722</v>
      </c>
      <c r="B6" s="534">
        <v>42929</v>
      </c>
      <c r="C6" s="535">
        <v>800</v>
      </c>
      <c r="D6" s="533" t="s">
        <v>862</v>
      </c>
      <c r="E6" s="533" t="s">
        <v>873</v>
      </c>
      <c r="F6" s="583" t="s">
        <v>874</v>
      </c>
    </row>
    <row r="7" spans="1:6" x14ac:dyDescent="0.2">
      <c r="A7" s="533" t="s">
        <v>722</v>
      </c>
      <c r="B7" s="534">
        <v>43019</v>
      </c>
      <c r="C7" s="535">
        <v>3803</v>
      </c>
      <c r="D7" s="533" t="s">
        <v>862</v>
      </c>
      <c r="E7" s="533" t="s">
        <v>875</v>
      </c>
      <c r="F7" s="583" t="s">
        <v>876</v>
      </c>
    </row>
    <row r="8" spans="1:6" x14ac:dyDescent="0.2">
      <c r="A8" s="533" t="s">
        <v>722</v>
      </c>
      <c r="B8" s="534">
        <v>43110</v>
      </c>
      <c r="C8" s="535">
        <v>17000</v>
      </c>
      <c r="D8" s="533" t="s">
        <v>760</v>
      </c>
      <c r="E8" s="533" t="s">
        <v>888</v>
      </c>
      <c r="F8" s="583" t="s">
        <v>891</v>
      </c>
    </row>
    <row r="9" spans="1:6" x14ac:dyDescent="0.2">
      <c r="A9" s="533" t="s">
        <v>722</v>
      </c>
      <c r="B9" s="534">
        <v>43144</v>
      </c>
      <c r="C9" s="535">
        <v>4000</v>
      </c>
      <c r="D9" s="533" t="s">
        <v>760</v>
      </c>
      <c r="E9" s="533" t="s">
        <v>17</v>
      </c>
      <c r="F9" s="583" t="s">
        <v>890</v>
      </c>
    </row>
    <row r="10" spans="1:6" x14ac:dyDescent="0.2">
      <c r="A10" s="533" t="s">
        <v>722</v>
      </c>
      <c r="B10" s="534">
        <v>43152</v>
      </c>
      <c r="C10" s="585">
        <v>800</v>
      </c>
      <c r="D10" s="533" t="s">
        <v>753</v>
      </c>
      <c r="E10" s="533" t="s">
        <v>142</v>
      </c>
      <c r="F10" s="553" t="s">
        <v>893</v>
      </c>
    </row>
    <row r="11" spans="1:6" x14ac:dyDescent="0.2">
      <c r="A11" s="533" t="s">
        <v>722</v>
      </c>
      <c r="B11" s="534">
        <v>43173</v>
      </c>
      <c r="C11" s="535">
        <v>1369.9</v>
      </c>
      <c r="D11" s="533" t="s">
        <v>753</v>
      </c>
      <c r="E11" s="533" t="s">
        <v>603</v>
      </c>
      <c r="F11" s="553" t="s">
        <v>894</v>
      </c>
    </row>
    <row r="12" spans="1:6" x14ac:dyDescent="0.2">
      <c r="A12" s="533"/>
      <c r="B12" s="534"/>
      <c r="C12" s="535"/>
      <c r="D12" s="533"/>
      <c r="E12" s="533"/>
      <c r="F12" s="553"/>
    </row>
    <row r="13" spans="1:6" x14ac:dyDescent="0.2">
      <c r="A13" s="533"/>
      <c r="B13" s="536"/>
      <c r="C13" s="535"/>
      <c r="D13" s="533"/>
      <c r="E13" s="533"/>
      <c r="F13" s="533"/>
    </row>
    <row r="14" spans="1:6" x14ac:dyDescent="0.2">
      <c r="A14" s="440"/>
      <c r="B14" s="537"/>
      <c r="C14" s="538"/>
      <c r="D14" s="440"/>
      <c r="E14" s="440"/>
      <c r="F14" s="440"/>
    </row>
    <row r="15" spans="1:6" x14ac:dyDescent="0.2">
      <c r="A15" s="440" t="s">
        <v>683</v>
      </c>
      <c r="B15" s="537"/>
      <c r="C15" s="471">
        <f>C5-SUM(C6:C14)</f>
        <v>6727.0999999999985</v>
      </c>
      <c r="D15" s="440"/>
      <c r="E15" s="440"/>
      <c r="F15" s="440"/>
    </row>
    <row r="16" spans="1:6" ht="15.75" x14ac:dyDescent="0.25">
      <c r="A16" s="363"/>
      <c r="B16" s="463"/>
    </row>
    <row r="17" spans="1:6" ht="15.75" x14ac:dyDescent="0.25">
      <c r="A17" s="468" t="s">
        <v>842</v>
      </c>
      <c r="B17" s="527"/>
      <c r="C17" s="469"/>
      <c r="D17" s="468"/>
      <c r="E17" s="468"/>
      <c r="F17" s="468"/>
    </row>
    <row r="18" spans="1:6" s="466" customFormat="1" x14ac:dyDescent="0.25">
      <c r="A18" s="530" t="s">
        <v>743</v>
      </c>
      <c r="B18" s="531" t="s">
        <v>725</v>
      </c>
      <c r="C18" s="532" t="s">
        <v>661</v>
      </c>
      <c r="D18" s="530" t="s">
        <v>720</v>
      </c>
      <c r="E18" s="530" t="s">
        <v>748</v>
      </c>
      <c r="F18" s="530" t="s">
        <v>721</v>
      </c>
    </row>
    <row r="19" spans="1:6" x14ac:dyDescent="0.2">
      <c r="A19" s="533" t="s">
        <v>719</v>
      </c>
      <c r="B19" s="534">
        <v>42552</v>
      </c>
      <c r="C19" s="535">
        <v>34500</v>
      </c>
      <c r="D19" s="533" t="s">
        <v>723</v>
      </c>
      <c r="E19" s="533" t="s">
        <v>723</v>
      </c>
      <c r="F19" s="533" t="s">
        <v>723</v>
      </c>
    </row>
    <row r="20" spans="1:6" x14ac:dyDescent="0.2">
      <c r="A20" s="533" t="s">
        <v>722</v>
      </c>
      <c r="B20" s="534">
        <v>42691</v>
      </c>
      <c r="C20" s="535">
        <v>5800</v>
      </c>
      <c r="D20" s="533" t="s">
        <v>760</v>
      </c>
      <c r="E20" s="533" t="s">
        <v>853</v>
      </c>
      <c r="F20" s="533" t="s">
        <v>854</v>
      </c>
    </row>
    <row r="21" spans="1:6" x14ac:dyDescent="0.2">
      <c r="A21" s="533" t="s">
        <v>722</v>
      </c>
      <c r="B21" s="534">
        <v>42712</v>
      </c>
      <c r="C21" s="535">
        <v>2000</v>
      </c>
      <c r="D21" s="533" t="s">
        <v>765</v>
      </c>
      <c r="E21" s="533" t="s">
        <v>852</v>
      </c>
      <c r="F21" s="533" t="s">
        <v>866</v>
      </c>
    </row>
    <row r="22" spans="1:6" x14ac:dyDescent="0.2">
      <c r="A22" s="533" t="s">
        <v>722</v>
      </c>
      <c r="B22" s="534">
        <v>42803</v>
      </c>
      <c r="C22" s="535">
        <v>500</v>
      </c>
      <c r="D22" s="533" t="s">
        <v>599</v>
      </c>
      <c r="E22" s="533" t="s">
        <v>849</v>
      </c>
      <c r="F22" s="533" t="s">
        <v>850</v>
      </c>
    </row>
    <row r="23" spans="1:6" x14ac:dyDescent="0.2">
      <c r="A23" s="533" t="s">
        <v>722</v>
      </c>
      <c r="B23" s="534">
        <v>42816</v>
      </c>
      <c r="C23" s="535">
        <v>5000</v>
      </c>
      <c r="D23" s="533" t="s">
        <v>753</v>
      </c>
      <c r="E23" s="533" t="s">
        <v>759</v>
      </c>
      <c r="F23" s="533"/>
    </row>
    <row r="24" spans="1:6" x14ac:dyDescent="0.2">
      <c r="A24" s="533" t="s">
        <v>722</v>
      </c>
      <c r="B24" s="534">
        <v>42831</v>
      </c>
      <c r="C24" s="535">
        <v>249.99</v>
      </c>
      <c r="D24" s="533" t="s">
        <v>862</v>
      </c>
      <c r="E24" s="533" t="s">
        <v>863</v>
      </c>
      <c r="F24" s="553" t="s">
        <v>850</v>
      </c>
    </row>
    <row r="25" spans="1:6" x14ac:dyDescent="0.2">
      <c r="A25" s="533" t="s">
        <v>722</v>
      </c>
      <c r="B25" s="534">
        <v>42859</v>
      </c>
      <c r="C25" s="535">
        <v>200</v>
      </c>
      <c r="D25" s="533" t="s">
        <v>774</v>
      </c>
      <c r="E25" s="533" t="s">
        <v>849</v>
      </c>
      <c r="F25" s="553" t="s">
        <v>867</v>
      </c>
    </row>
    <row r="26" spans="1:6" x14ac:dyDescent="0.2">
      <c r="A26" s="533" t="s">
        <v>722</v>
      </c>
      <c r="B26" s="534">
        <v>42859</v>
      </c>
      <c r="C26" s="535">
        <v>4600</v>
      </c>
      <c r="D26" s="533" t="s">
        <v>868</v>
      </c>
      <c r="E26" s="533" t="s">
        <v>463</v>
      </c>
      <c r="F26" s="553" t="s">
        <v>869</v>
      </c>
    </row>
    <row r="27" spans="1:6" x14ac:dyDescent="0.2">
      <c r="A27" s="533" t="s">
        <v>722</v>
      </c>
      <c r="B27" s="534">
        <v>42894</v>
      </c>
      <c r="C27" s="535">
        <v>2000</v>
      </c>
      <c r="D27" s="533" t="s">
        <v>760</v>
      </c>
      <c r="E27" s="533" t="s">
        <v>463</v>
      </c>
      <c r="F27" s="553" t="s">
        <v>870</v>
      </c>
    </row>
    <row r="28" spans="1:6" x14ac:dyDescent="0.2">
      <c r="A28" s="533" t="s">
        <v>722</v>
      </c>
      <c r="B28" s="534">
        <v>42894</v>
      </c>
      <c r="C28" s="535">
        <v>150</v>
      </c>
      <c r="D28" s="533" t="s">
        <v>774</v>
      </c>
      <c r="E28" s="533" t="s">
        <v>849</v>
      </c>
      <c r="F28" s="553" t="s">
        <v>871</v>
      </c>
    </row>
    <row r="29" spans="1:6" x14ac:dyDescent="0.2">
      <c r="A29" s="533" t="s">
        <v>722</v>
      </c>
      <c r="B29" s="534"/>
      <c r="C29" s="535"/>
      <c r="D29" s="533"/>
      <c r="E29" s="533"/>
      <c r="F29" s="553"/>
    </row>
    <row r="30" spans="1:6" x14ac:dyDescent="0.2">
      <c r="A30" s="440"/>
      <c r="B30" s="537"/>
      <c r="C30" s="538"/>
      <c r="D30" s="440"/>
      <c r="E30" s="440"/>
      <c r="F30" s="440"/>
    </row>
    <row r="31" spans="1:6" x14ac:dyDescent="0.2">
      <c r="A31" s="440" t="s">
        <v>683</v>
      </c>
      <c r="B31" s="537"/>
      <c r="C31" s="471">
        <f>C19-SUM(C20:C30)</f>
        <v>14000.010000000002</v>
      </c>
      <c r="D31" s="440"/>
      <c r="E31" s="440"/>
      <c r="F31" s="440"/>
    </row>
    <row r="32" spans="1:6" ht="15.75" x14ac:dyDescent="0.25">
      <c r="A32" s="363"/>
      <c r="B32" s="463"/>
    </row>
    <row r="33" spans="1:6" ht="15.75" x14ac:dyDescent="0.25">
      <c r="A33" s="468" t="s">
        <v>729</v>
      </c>
      <c r="B33" s="527"/>
      <c r="C33" s="469"/>
      <c r="D33" s="468"/>
      <c r="E33" s="468"/>
      <c r="F33" s="468"/>
    </row>
    <row r="34" spans="1:6" s="466" customFormat="1" x14ac:dyDescent="0.25">
      <c r="A34" s="530" t="s">
        <v>743</v>
      </c>
      <c r="B34" s="531" t="s">
        <v>725</v>
      </c>
      <c r="C34" s="532" t="s">
        <v>661</v>
      </c>
      <c r="D34" s="530" t="s">
        <v>720</v>
      </c>
      <c r="E34" s="530" t="s">
        <v>748</v>
      </c>
      <c r="F34" s="530" t="s">
        <v>721</v>
      </c>
    </row>
    <row r="35" spans="1:6" x14ac:dyDescent="0.2">
      <c r="A35" s="533" t="s">
        <v>719</v>
      </c>
      <c r="B35" s="534">
        <v>42186</v>
      </c>
      <c r="C35" s="535">
        <v>34468.79</v>
      </c>
      <c r="D35" s="533" t="s">
        <v>723</v>
      </c>
      <c r="E35" s="533" t="s">
        <v>723</v>
      </c>
      <c r="F35" s="533" t="s">
        <v>723</v>
      </c>
    </row>
    <row r="36" spans="1:6" x14ac:dyDescent="0.2">
      <c r="A36" s="533" t="s">
        <v>722</v>
      </c>
      <c r="B36" s="534">
        <v>42257</v>
      </c>
      <c r="C36" s="535">
        <v>4000</v>
      </c>
      <c r="D36" s="533" t="s">
        <v>599</v>
      </c>
      <c r="E36" s="533" t="s">
        <v>755</v>
      </c>
      <c r="F36" s="533" t="s">
        <v>724</v>
      </c>
    </row>
    <row r="37" spans="1:6" x14ac:dyDescent="0.2">
      <c r="A37" s="533" t="s">
        <v>722</v>
      </c>
      <c r="B37" s="534">
        <v>42383</v>
      </c>
      <c r="C37" s="535">
        <v>5000</v>
      </c>
      <c r="D37" s="533" t="s">
        <v>756</v>
      </c>
      <c r="E37" s="533" t="s">
        <v>726</v>
      </c>
      <c r="F37" s="533" t="s">
        <v>727</v>
      </c>
    </row>
    <row r="38" spans="1:6" x14ac:dyDescent="0.2">
      <c r="A38" s="533" t="s">
        <v>722</v>
      </c>
      <c r="B38" s="534">
        <v>42425</v>
      </c>
      <c r="C38" s="535">
        <v>5010.84</v>
      </c>
      <c r="D38" s="533" t="s">
        <v>756</v>
      </c>
      <c r="E38" s="533" t="s">
        <v>726</v>
      </c>
      <c r="F38" s="533" t="s">
        <v>728</v>
      </c>
    </row>
    <row r="39" spans="1:6" x14ac:dyDescent="0.2">
      <c r="A39" s="533" t="s">
        <v>722</v>
      </c>
      <c r="B39" s="534">
        <v>42453</v>
      </c>
      <c r="C39" s="535">
        <v>425.32</v>
      </c>
      <c r="D39" s="533" t="s">
        <v>753</v>
      </c>
      <c r="E39" s="533" t="s">
        <v>802</v>
      </c>
      <c r="F39" s="533" t="s">
        <v>803</v>
      </c>
    </row>
    <row r="40" spans="1:6" ht="30" x14ac:dyDescent="0.2">
      <c r="A40" s="533" t="s">
        <v>722</v>
      </c>
      <c r="B40" s="534">
        <v>42453</v>
      </c>
      <c r="C40" s="535">
        <v>3000</v>
      </c>
      <c r="D40" s="533" t="s">
        <v>753</v>
      </c>
      <c r="E40" s="533" t="s">
        <v>759</v>
      </c>
      <c r="F40" s="553" t="s">
        <v>804</v>
      </c>
    </row>
    <row r="41" spans="1:6" x14ac:dyDescent="0.2">
      <c r="A41" s="533" t="s">
        <v>722</v>
      </c>
      <c r="B41" s="534">
        <v>42500</v>
      </c>
      <c r="C41" s="535">
        <v>2600</v>
      </c>
      <c r="D41" s="533" t="s">
        <v>753</v>
      </c>
      <c r="E41" s="533" t="s">
        <v>767</v>
      </c>
      <c r="F41" s="553" t="s">
        <v>837</v>
      </c>
    </row>
    <row r="42" spans="1:6" x14ac:dyDescent="0.2">
      <c r="A42" s="533" t="s">
        <v>722</v>
      </c>
      <c r="B42" s="534">
        <v>42500</v>
      </c>
      <c r="C42" s="535">
        <v>2500</v>
      </c>
      <c r="D42" s="533" t="s">
        <v>753</v>
      </c>
      <c r="E42" s="533" t="s">
        <v>759</v>
      </c>
      <c r="F42" s="553" t="s">
        <v>838</v>
      </c>
    </row>
    <row r="43" spans="1:6" ht="30" x14ac:dyDescent="0.2">
      <c r="A43" s="533" t="s">
        <v>722</v>
      </c>
      <c r="B43" s="534">
        <v>42500</v>
      </c>
      <c r="C43" s="535">
        <v>570</v>
      </c>
      <c r="D43" s="533" t="s">
        <v>616</v>
      </c>
      <c r="E43" s="533" t="s">
        <v>839</v>
      </c>
      <c r="F43" s="553" t="s">
        <v>840</v>
      </c>
    </row>
    <row r="44" spans="1:6" x14ac:dyDescent="0.2">
      <c r="A44" s="533" t="s">
        <v>722</v>
      </c>
      <c r="B44" s="534"/>
      <c r="C44" s="535"/>
      <c r="D44" s="533"/>
      <c r="E44" s="533"/>
      <c r="F44" s="553"/>
    </row>
    <row r="45" spans="1:6" x14ac:dyDescent="0.2">
      <c r="A45" s="440"/>
      <c r="B45" s="537"/>
      <c r="C45" s="538"/>
      <c r="D45" s="440"/>
      <c r="E45" s="440"/>
      <c r="F45" s="440"/>
    </row>
    <row r="46" spans="1:6" x14ac:dyDescent="0.2">
      <c r="A46" s="440" t="s">
        <v>683</v>
      </c>
      <c r="B46" s="537"/>
      <c r="C46" s="471">
        <f>C35-SUM(C36:C45)</f>
        <v>11362.630000000001</v>
      </c>
      <c r="D46" s="440"/>
      <c r="E46" s="440"/>
      <c r="F46" s="440"/>
    </row>
    <row r="49" spans="1:6" ht="15.75" x14ac:dyDescent="0.25">
      <c r="A49" s="468" t="s">
        <v>731</v>
      </c>
      <c r="B49" s="527"/>
      <c r="C49" s="469"/>
      <c r="D49" s="468"/>
      <c r="E49" s="468"/>
      <c r="F49" s="468"/>
    </row>
    <row r="50" spans="1:6" ht="15.75" x14ac:dyDescent="0.25">
      <c r="A50" s="466" t="s">
        <v>743</v>
      </c>
      <c r="B50" s="528" t="s">
        <v>725</v>
      </c>
      <c r="C50" s="467" t="s">
        <v>661</v>
      </c>
      <c r="D50" s="466" t="s">
        <v>720</v>
      </c>
      <c r="E50" s="530" t="s">
        <v>748</v>
      </c>
      <c r="F50" s="466" t="s">
        <v>721</v>
      </c>
    </row>
    <row r="51" spans="1:6" x14ac:dyDescent="0.2">
      <c r="A51" s="533" t="s">
        <v>719</v>
      </c>
      <c r="B51" s="534">
        <v>41821</v>
      </c>
      <c r="C51" s="535">
        <v>34468.79</v>
      </c>
      <c r="D51" s="533" t="s">
        <v>723</v>
      </c>
      <c r="E51" s="533" t="s">
        <v>723</v>
      </c>
      <c r="F51" s="533" t="s">
        <v>723</v>
      </c>
    </row>
    <row r="52" spans="1:6" x14ac:dyDescent="0.2">
      <c r="A52" s="533" t="s">
        <v>722</v>
      </c>
      <c r="B52" s="534">
        <v>41928</v>
      </c>
      <c r="C52" s="535">
        <v>800</v>
      </c>
      <c r="D52" s="533" t="s">
        <v>753</v>
      </c>
      <c r="E52" s="533" t="s">
        <v>142</v>
      </c>
      <c r="F52" s="533" t="s">
        <v>754</v>
      </c>
    </row>
    <row r="53" spans="1:6" x14ac:dyDescent="0.2">
      <c r="A53" s="533" t="s">
        <v>722</v>
      </c>
      <c r="B53" s="534">
        <v>41928</v>
      </c>
      <c r="C53" s="535">
        <v>1920</v>
      </c>
      <c r="D53" s="533" t="s">
        <v>668</v>
      </c>
      <c r="E53" s="533" t="s">
        <v>757</v>
      </c>
      <c r="F53" s="533"/>
    </row>
    <row r="54" spans="1:6" x14ac:dyDescent="0.2">
      <c r="A54" s="533" t="s">
        <v>722</v>
      </c>
      <c r="B54" s="534">
        <v>42094</v>
      </c>
      <c r="C54" s="535">
        <v>5517.96</v>
      </c>
      <c r="D54" s="533" t="s">
        <v>753</v>
      </c>
      <c r="E54" s="533" t="s">
        <v>759</v>
      </c>
      <c r="F54" s="533"/>
    </row>
    <row r="55" spans="1:6" x14ac:dyDescent="0.2">
      <c r="A55" s="533" t="s">
        <v>722</v>
      </c>
      <c r="B55" s="534">
        <v>42094</v>
      </c>
      <c r="C55" s="535">
        <v>8000</v>
      </c>
      <c r="D55" s="533" t="s">
        <v>756</v>
      </c>
      <c r="E55" s="533" t="s">
        <v>758</v>
      </c>
      <c r="F55" s="533"/>
    </row>
    <row r="56" spans="1:6" x14ac:dyDescent="0.2">
      <c r="A56" s="533" t="s">
        <v>722</v>
      </c>
      <c r="B56" s="534">
        <v>42144</v>
      </c>
      <c r="C56" s="535">
        <v>5000</v>
      </c>
      <c r="D56" s="533" t="s">
        <v>753</v>
      </c>
      <c r="E56" s="533" t="s">
        <v>759</v>
      </c>
      <c r="F56" s="533"/>
    </row>
    <row r="57" spans="1:6" x14ac:dyDescent="0.2">
      <c r="A57" s="533" t="s">
        <v>722</v>
      </c>
      <c r="B57" s="534">
        <v>42166</v>
      </c>
      <c r="C57" s="535">
        <v>3000</v>
      </c>
      <c r="D57" s="533" t="s">
        <v>783</v>
      </c>
      <c r="E57" s="533" t="s">
        <v>783</v>
      </c>
      <c r="F57" s="583" t="s">
        <v>786</v>
      </c>
    </row>
    <row r="58" spans="1:6" x14ac:dyDescent="0.2">
      <c r="A58" s="533" t="s">
        <v>722</v>
      </c>
      <c r="B58" s="534">
        <v>42167</v>
      </c>
      <c r="C58" s="535">
        <v>2305.3200000000002</v>
      </c>
      <c r="D58" s="533" t="s">
        <v>756</v>
      </c>
      <c r="E58" s="533" t="s">
        <v>758</v>
      </c>
      <c r="F58" s="533"/>
    </row>
    <row r="59" spans="1:6" x14ac:dyDescent="0.2">
      <c r="A59" s="533" t="s">
        <v>722</v>
      </c>
      <c r="B59" s="534">
        <v>42184</v>
      </c>
      <c r="C59" s="535">
        <v>6923.51</v>
      </c>
      <c r="D59" s="533" t="s">
        <v>763</v>
      </c>
      <c r="E59" s="533" t="s">
        <v>764</v>
      </c>
      <c r="F59" s="533" t="s">
        <v>761</v>
      </c>
    </row>
    <row r="60" spans="1:6" x14ac:dyDescent="0.2">
      <c r="A60" s="533" t="s">
        <v>722</v>
      </c>
      <c r="B60" s="534">
        <v>42185</v>
      </c>
      <c r="C60" s="535">
        <v>1000</v>
      </c>
      <c r="D60" s="533" t="s">
        <v>760</v>
      </c>
      <c r="E60" s="533" t="s">
        <v>17</v>
      </c>
      <c r="F60" s="533" t="s">
        <v>761</v>
      </c>
    </row>
    <row r="61" spans="1:6" ht="15.75" thickBot="1" x14ac:dyDescent="0.25">
      <c r="C61" s="470"/>
    </row>
    <row r="62" spans="1:6" x14ac:dyDescent="0.2">
      <c r="A62" t="s">
        <v>683</v>
      </c>
      <c r="C62" s="471">
        <f>C51-SUM(C52:C61)</f>
        <v>2</v>
      </c>
    </row>
    <row r="65" spans="1:6" ht="15.75" x14ac:dyDescent="0.25">
      <c r="A65" s="468" t="s">
        <v>732</v>
      </c>
      <c r="B65" s="527"/>
      <c r="C65" s="469"/>
      <c r="D65" s="468"/>
      <c r="E65" s="468"/>
      <c r="F65" s="468"/>
    </row>
    <row r="66" spans="1:6" ht="15.75" x14ac:dyDescent="0.25">
      <c r="A66" s="466" t="s">
        <v>743</v>
      </c>
      <c r="B66" s="528" t="s">
        <v>725</v>
      </c>
      <c r="C66" s="467" t="s">
        <v>661</v>
      </c>
      <c r="D66" s="466" t="s">
        <v>720</v>
      </c>
      <c r="E66" s="530" t="s">
        <v>748</v>
      </c>
      <c r="F66" s="466" t="s">
        <v>721</v>
      </c>
    </row>
    <row r="67" spans="1:6" x14ac:dyDescent="0.2">
      <c r="A67" s="533" t="s">
        <v>719</v>
      </c>
      <c r="B67" s="534">
        <v>41456</v>
      </c>
      <c r="C67" s="535">
        <v>34468.79</v>
      </c>
      <c r="D67" s="533" t="s">
        <v>723</v>
      </c>
      <c r="E67" s="533" t="s">
        <v>723</v>
      </c>
      <c r="F67" s="533" t="s">
        <v>723</v>
      </c>
    </row>
    <row r="68" spans="1:6" x14ac:dyDescent="0.2">
      <c r="A68" s="533" t="s">
        <v>722</v>
      </c>
      <c r="B68" s="534">
        <v>41557</v>
      </c>
      <c r="C68" s="535">
        <v>3700</v>
      </c>
      <c r="D68" s="533" t="s">
        <v>765</v>
      </c>
      <c r="E68" s="533" t="s">
        <v>766</v>
      </c>
      <c r="F68" s="533"/>
    </row>
    <row r="69" spans="1:6" x14ac:dyDescent="0.2">
      <c r="A69" s="533" t="s">
        <v>722</v>
      </c>
      <c r="B69" s="534">
        <v>41690</v>
      </c>
      <c r="C69" s="535">
        <v>2000</v>
      </c>
      <c r="D69" s="533" t="s">
        <v>753</v>
      </c>
      <c r="E69" s="533" t="s">
        <v>767</v>
      </c>
      <c r="F69" s="533"/>
    </row>
    <row r="70" spans="1:6" x14ac:dyDescent="0.2">
      <c r="A70" s="533" t="s">
        <v>722</v>
      </c>
      <c r="B70" s="534">
        <v>41690</v>
      </c>
      <c r="C70" s="535">
        <v>1274.6600000000001</v>
      </c>
      <c r="D70" s="533" t="s">
        <v>753</v>
      </c>
      <c r="E70" s="533" t="s">
        <v>768</v>
      </c>
      <c r="F70" s="533"/>
    </row>
    <row r="71" spans="1:6" x14ac:dyDescent="0.2">
      <c r="A71" s="533" t="s">
        <v>722</v>
      </c>
      <c r="B71" s="534">
        <v>41711</v>
      </c>
      <c r="C71" s="535">
        <v>2500</v>
      </c>
      <c r="D71" s="533" t="s">
        <v>753</v>
      </c>
      <c r="E71" s="533" t="s">
        <v>767</v>
      </c>
      <c r="F71" s="533"/>
    </row>
    <row r="72" spans="1:6" x14ac:dyDescent="0.2">
      <c r="A72" s="533" t="s">
        <v>722</v>
      </c>
      <c r="B72" s="534">
        <v>41725</v>
      </c>
      <c r="C72" s="535">
        <v>836.53</v>
      </c>
      <c r="D72" s="533" t="s">
        <v>765</v>
      </c>
      <c r="E72" s="533" t="s">
        <v>766</v>
      </c>
      <c r="F72" s="533"/>
    </row>
    <row r="73" spans="1:6" x14ac:dyDescent="0.2">
      <c r="A73" s="533" t="s">
        <v>722</v>
      </c>
      <c r="B73" s="534">
        <v>41759</v>
      </c>
      <c r="C73" s="535">
        <v>2000</v>
      </c>
      <c r="D73" s="533" t="s">
        <v>760</v>
      </c>
      <c r="E73" s="533" t="s">
        <v>769</v>
      </c>
      <c r="F73" s="533"/>
    </row>
    <row r="74" spans="1:6" x14ac:dyDescent="0.2">
      <c r="A74" s="533" t="s">
        <v>722</v>
      </c>
      <c r="B74" s="534">
        <v>41759</v>
      </c>
      <c r="C74" s="535">
        <v>4000</v>
      </c>
      <c r="D74" s="533" t="s">
        <v>753</v>
      </c>
      <c r="E74" s="533" t="s">
        <v>759</v>
      </c>
      <c r="F74" s="533"/>
    </row>
    <row r="75" spans="1:6" x14ac:dyDescent="0.2">
      <c r="A75" s="533" t="s">
        <v>722</v>
      </c>
      <c r="B75" s="534">
        <v>41802</v>
      </c>
      <c r="C75" s="535">
        <v>5461.78</v>
      </c>
      <c r="D75" s="533" t="s">
        <v>760</v>
      </c>
      <c r="E75" s="533" t="s">
        <v>762</v>
      </c>
      <c r="F75" s="533" t="s">
        <v>770</v>
      </c>
    </row>
    <row r="76" spans="1:6" x14ac:dyDescent="0.2">
      <c r="A76" s="533" t="s">
        <v>722</v>
      </c>
      <c r="B76" s="534">
        <v>41802</v>
      </c>
      <c r="C76" s="535">
        <v>6330.77</v>
      </c>
      <c r="D76" s="533" t="s">
        <v>771</v>
      </c>
      <c r="E76" s="533" t="s">
        <v>772</v>
      </c>
      <c r="F76" s="533" t="s">
        <v>773</v>
      </c>
    </row>
    <row r="77" spans="1:6" x14ac:dyDescent="0.2">
      <c r="A77" s="533" t="s">
        <v>722</v>
      </c>
      <c r="B77" s="534">
        <v>41802</v>
      </c>
      <c r="C77" s="535">
        <v>800</v>
      </c>
      <c r="D77" s="533" t="s">
        <v>760</v>
      </c>
      <c r="E77" s="533" t="s">
        <v>142</v>
      </c>
      <c r="F77" s="533"/>
    </row>
    <row r="78" spans="1:6" x14ac:dyDescent="0.2">
      <c r="A78" s="533" t="s">
        <v>722</v>
      </c>
      <c r="B78" s="534">
        <v>41819</v>
      </c>
      <c r="C78" s="535">
        <v>15</v>
      </c>
      <c r="D78" s="533" t="s">
        <v>774</v>
      </c>
      <c r="E78" s="533" t="s">
        <v>775</v>
      </c>
      <c r="F78" s="533" t="s">
        <v>776</v>
      </c>
    </row>
    <row r="79" spans="1:6" x14ac:dyDescent="0.2">
      <c r="A79" s="533" t="s">
        <v>722</v>
      </c>
      <c r="B79" s="534">
        <v>41819</v>
      </c>
      <c r="C79" s="535">
        <v>5550.05</v>
      </c>
      <c r="D79" s="533" t="s">
        <v>777</v>
      </c>
      <c r="E79" s="533" t="s">
        <v>778</v>
      </c>
      <c r="F79" s="533" t="s">
        <v>779</v>
      </c>
    </row>
    <row r="80" spans="1:6" ht="15.75" thickBot="1" x14ac:dyDescent="0.25">
      <c r="C80" s="470"/>
    </row>
    <row r="81" spans="1:6" x14ac:dyDescent="0.2">
      <c r="A81" t="s">
        <v>683</v>
      </c>
      <c r="C81" s="471">
        <f>C67-SUM(C68:C80)</f>
        <v>0</v>
      </c>
    </row>
    <row r="84" spans="1:6" ht="15.75" x14ac:dyDescent="0.25">
      <c r="A84" s="468" t="s">
        <v>730</v>
      </c>
      <c r="B84" s="527"/>
      <c r="C84" s="469"/>
      <c r="D84" s="468"/>
      <c r="E84" s="468"/>
      <c r="F84" s="468"/>
    </row>
    <row r="85" spans="1:6" ht="15.75" x14ac:dyDescent="0.25">
      <c r="A85" s="466" t="s">
        <v>743</v>
      </c>
      <c r="B85" s="528" t="s">
        <v>725</v>
      </c>
      <c r="C85" s="467" t="s">
        <v>661</v>
      </c>
      <c r="D85" s="466" t="s">
        <v>720</v>
      </c>
      <c r="E85" s="530" t="s">
        <v>748</v>
      </c>
      <c r="F85" s="466" t="s">
        <v>721</v>
      </c>
    </row>
    <row r="86" spans="1:6" x14ac:dyDescent="0.2">
      <c r="A86" s="533" t="s">
        <v>719</v>
      </c>
      <c r="B86" s="534">
        <v>41091</v>
      </c>
      <c r="C86" s="535">
        <v>34468.79</v>
      </c>
      <c r="D86" s="533" t="s">
        <v>723</v>
      </c>
      <c r="E86" s="533" t="s">
        <v>723</v>
      </c>
      <c r="F86" s="533" t="s">
        <v>723</v>
      </c>
    </row>
    <row r="87" spans="1:6" x14ac:dyDescent="0.2">
      <c r="A87" s="533" t="s">
        <v>722</v>
      </c>
      <c r="B87" s="534">
        <v>41193</v>
      </c>
      <c r="C87" s="535">
        <v>4742</v>
      </c>
      <c r="D87" s="533" t="s">
        <v>771</v>
      </c>
      <c r="E87" s="533" t="s">
        <v>225</v>
      </c>
      <c r="F87" s="533"/>
    </row>
    <row r="88" spans="1:6" x14ac:dyDescent="0.2">
      <c r="A88" s="533" t="s">
        <v>722</v>
      </c>
      <c r="B88" s="534">
        <v>41284</v>
      </c>
      <c r="C88" s="535">
        <v>3643.73</v>
      </c>
      <c r="D88" s="533" t="s">
        <v>771</v>
      </c>
      <c r="E88" s="533" t="s">
        <v>780</v>
      </c>
      <c r="F88" s="533"/>
    </row>
    <row r="89" spans="1:6" x14ac:dyDescent="0.2">
      <c r="A89" s="533" t="s">
        <v>722</v>
      </c>
      <c r="B89" s="534">
        <v>41318</v>
      </c>
      <c r="C89" s="535">
        <v>600</v>
      </c>
      <c r="D89" s="533" t="s">
        <v>600</v>
      </c>
      <c r="E89" s="533" t="s">
        <v>323</v>
      </c>
      <c r="F89" s="533"/>
    </row>
    <row r="90" spans="1:6" x14ac:dyDescent="0.2">
      <c r="A90" s="533" t="s">
        <v>722</v>
      </c>
      <c r="B90" s="534">
        <v>41347</v>
      </c>
      <c r="C90" s="535">
        <v>6647.68</v>
      </c>
      <c r="D90" s="533" t="s">
        <v>760</v>
      </c>
      <c r="E90" s="533" t="s">
        <v>781</v>
      </c>
      <c r="F90" s="533"/>
    </row>
    <row r="91" spans="1:6" x14ac:dyDescent="0.2">
      <c r="A91" s="533" t="s">
        <v>722</v>
      </c>
      <c r="B91" s="534">
        <v>41438</v>
      </c>
      <c r="C91" s="535">
        <v>2414.39</v>
      </c>
      <c r="D91" s="533" t="s">
        <v>771</v>
      </c>
      <c r="E91" s="533" t="s">
        <v>782</v>
      </c>
      <c r="F91" s="533"/>
    </row>
    <row r="92" spans="1:6" x14ac:dyDescent="0.2">
      <c r="A92" s="533" t="s">
        <v>722</v>
      </c>
      <c r="B92" s="534">
        <v>41455</v>
      </c>
      <c r="C92" s="535">
        <v>11824.75</v>
      </c>
      <c r="D92" s="533" t="s">
        <v>783</v>
      </c>
      <c r="E92" s="533" t="s">
        <v>783</v>
      </c>
      <c r="F92" s="533" t="s">
        <v>784</v>
      </c>
    </row>
    <row r="93" spans="1:6" x14ac:dyDescent="0.2">
      <c r="A93" s="533" t="s">
        <v>722</v>
      </c>
      <c r="B93" s="534">
        <v>41455</v>
      </c>
      <c r="C93" s="535">
        <v>4596.24</v>
      </c>
      <c r="D93" s="533" t="s">
        <v>783</v>
      </c>
      <c r="E93" s="533" t="s">
        <v>783</v>
      </c>
      <c r="F93" s="533" t="s">
        <v>785</v>
      </c>
    </row>
    <row r="94" spans="1:6" ht="15.75" thickBot="1" x14ac:dyDescent="0.25">
      <c r="C94" s="470"/>
    </row>
    <row r="95" spans="1:6" x14ac:dyDescent="0.2">
      <c r="A95" t="s">
        <v>683</v>
      </c>
      <c r="C95" s="471">
        <f>C86-SUM(C87:C94)</f>
        <v>0</v>
      </c>
    </row>
  </sheetData>
  <pageMargins left="0.7" right="0.7" top="0.75" bottom="0.75" header="0.3" footer="0.3"/>
  <pageSetup scale="59" orientation="portrait" r:id="rId1"/>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zoomScaleNormal="100" workbookViewId="0">
      <pane ySplit="1" topLeftCell="A13" activePane="bottomLeft" state="frozen"/>
      <selection pane="bottomLeft" activeCell="C15" sqref="C15"/>
    </sheetView>
  </sheetViews>
  <sheetFormatPr defaultRowHeight="14.25" x14ac:dyDescent="0.2"/>
  <cols>
    <col min="1" max="1" width="10.5546875" style="547" customWidth="1"/>
    <col min="2" max="2" width="63.6640625" style="548" customWidth="1"/>
    <col min="3" max="3" width="18.77734375" style="4" customWidth="1"/>
    <col min="4" max="16384" width="8.88671875" style="4"/>
  </cols>
  <sheetData>
    <row r="1" spans="1:3" ht="15" x14ac:dyDescent="0.2">
      <c r="A1" s="540" t="s">
        <v>370</v>
      </c>
      <c r="B1" s="541" t="s">
        <v>371</v>
      </c>
      <c r="C1" s="541" t="s">
        <v>715</v>
      </c>
    </row>
    <row r="2" spans="1:3" ht="28.5" x14ac:dyDescent="0.2">
      <c r="A2" s="542">
        <v>42376</v>
      </c>
      <c r="B2" s="543" t="s">
        <v>716</v>
      </c>
      <c r="C2" s="543"/>
    </row>
    <row r="3" spans="1:3" x14ac:dyDescent="0.2">
      <c r="A3" s="542">
        <v>42401</v>
      </c>
      <c r="B3" s="543" t="s">
        <v>734</v>
      </c>
      <c r="C3" s="543"/>
    </row>
    <row r="4" spans="1:3" ht="71.25" x14ac:dyDescent="0.2">
      <c r="A4" s="542"/>
      <c r="B4" s="543" t="s">
        <v>832</v>
      </c>
      <c r="C4" s="543"/>
    </row>
    <row r="5" spans="1:3" x14ac:dyDescent="0.2">
      <c r="A5" s="542">
        <v>42418</v>
      </c>
      <c r="B5" s="543" t="s">
        <v>735</v>
      </c>
      <c r="C5" s="543"/>
    </row>
    <row r="6" spans="1:3" ht="57" x14ac:dyDescent="0.2">
      <c r="A6" s="542"/>
      <c r="B6" s="543" t="s">
        <v>833</v>
      </c>
      <c r="C6" s="543"/>
    </row>
    <row r="7" spans="1:3" ht="57" x14ac:dyDescent="0.2">
      <c r="A7" s="542"/>
      <c r="B7" s="543" t="s">
        <v>736</v>
      </c>
      <c r="C7" s="543"/>
    </row>
    <row r="8" spans="1:3" ht="42.75" x14ac:dyDescent="0.2">
      <c r="A8" s="542"/>
      <c r="B8" s="543" t="s">
        <v>834</v>
      </c>
      <c r="C8" s="543"/>
    </row>
    <row r="9" spans="1:3" ht="28.5" x14ac:dyDescent="0.2">
      <c r="A9" s="542"/>
      <c r="B9" s="543" t="s">
        <v>737</v>
      </c>
      <c r="C9" s="543"/>
    </row>
    <row r="10" spans="1:3" ht="42.75" x14ac:dyDescent="0.2">
      <c r="A10" s="542"/>
      <c r="B10" s="543" t="s">
        <v>738</v>
      </c>
      <c r="C10" s="543"/>
    </row>
    <row r="11" spans="1:3" x14ac:dyDescent="0.2">
      <c r="A11" s="542">
        <v>42419</v>
      </c>
      <c r="B11" s="543" t="s">
        <v>741</v>
      </c>
      <c r="C11" s="543"/>
    </row>
    <row r="12" spans="1:3" ht="28.5" x14ac:dyDescent="0.2">
      <c r="A12" s="542"/>
      <c r="B12" s="543" t="s">
        <v>742</v>
      </c>
      <c r="C12" s="543"/>
    </row>
    <row r="13" spans="1:3" ht="28.5" x14ac:dyDescent="0.2">
      <c r="A13" s="542"/>
      <c r="B13" s="543" t="s">
        <v>746</v>
      </c>
      <c r="C13" s="543"/>
    </row>
    <row r="14" spans="1:3" x14ac:dyDescent="0.2">
      <c r="A14" s="542"/>
      <c r="B14" s="543" t="s">
        <v>835</v>
      </c>
      <c r="C14" s="543"/>
    </row>
    <row r="15" spans="1:3" ht="28.5" x14ac:dyDescent="0.2">
      <c r="A15" s="542">
        <v>42423</v>
      </c>
      <c r="B15" s="543" t="s">
        <v>747</v>
      </c>
      <c r="C15" s="543"/>
    </row>
    <row r="16" spans="1:3" ht="28.5" x14ac:dyDescent="0.2">
      <c r="A16" s="542"/>
      <c r="B16" s="543" t="s">
        <v>749</v>
      </c>
      <c r="C16" s="543"/>
    </row>
    <row r="17" spans="1:3" x14ac:dyDescent="0.2">
      <c r="A17" s="542">
        <v>42425</v>
      </c>
      <c r="B17" s="543" t="s">
        <v>750</v>
      </c>
      <c r="C17" s="543"/>
    </row>
    <row r="18" spans="1:3" ht="85.5" x14ac:dyDescent="0.2">
      <c r="A18" s="542"/>
      <c r="B18" s="543" t="s">
        <v>751</v>
      </c>
      <c r="C18" s="543" t="s">
        <v>752</v>
      </c>
    </row>
    <row r="19" spans="1:3" ht="71.25" x14ac:dyDescent="0.2">
      <c r="A19" s="542"/>
      <c r="B19" s="543" t="s">
        <v>787</v>
      </c>
      <c r="C19" s="543" t="s">
        <v>788</v>
      </c>
    </row>
    <row r="20" spans="1:3" ht="28.5" x14ac:dyDescent="0.2">
      <c r="A20" s="542">
        <v>42431</v>
      </c>
      <c r="B20" s="543" t="s">
        <v>789</v>
      </c>
      <c r="C20" s="543"/>
    </row>
    <row r="21" spans="1:3" ht="71.25" x14ac:dyDescent="0.2">
      <c r="A21" s="542">
        <v>42431</v>
      </c>
      <c r="B21" s="543" t="s">
        <v>827</v>
      </c>
      <c r="C21" s="543"/>
    </row>
    <row r="22" spans="1:3" ht="71.25" x14ac:dyDescent="0.2">
      <c r="A22" s="542">
        <v>42432</v>
      </c>
      <c r="B22" s="543" t="s">
        <v>792</v>
      </c>
      <c r="C22" s="543"/>
    </row>
    <row r="23" spans="1:3" ht="28.5" x14ac:dyDescent="0.2">
      <c r="A23" s="542">
        <v>42436</v>
      </c>
      <c r="B23" s="543" t="s">
        <v>828</v>
      </c>
      <c r="C23" s="543"/>
    </row>
    <row r="24" spans="1:3" ht="28.5" x14ac:dyDescent="0.2">
      <c r="A24" s="542">
        <v>42440</v>
      </c>
      <c r="B24" s="543" t="s">
        <v>794</v>
      </c>
      <c r="C24" s="543"/>
    </row>
    <row r="25" spans="1:3" ht="28.5" x14ac:dyDescent="0.2">
      <c r="A25" s="542"/>
      <c r="B25" s="543" t="s">
        <v>795</v>
      </c>
      <c r="C25" s="543" t="s">
        <v>793</v>
      </c>
    </row>
    <row r="26" spans="1:3" x14ac:dyDescent="0.2">
      <c r="A26" s="542">
        <v>42453</v>
      </c>
      <c r="B26" s="543" t="s">
        <v>799</v>
      </c>
      <c r="C26" s="543"/>
    </row>
    <row r="27" spans="1:3" ht="156.75" x14ac:dyDescent="0.2">
      <c r="A27" s="542">
        <v>42453</v>
      </c>
      <c r="B27" s="543" t="s">
        <v>805</v>
      </c>
      <c r="C27" s="543"/>
    </row>
    <row r="28" spans="1:3" ht="28.5" x14ac:dyDescent="0.2">
      <c r="A28" s="542">
        <v>42453</v>
      </c>
      <c r="B28" s="543" t="s">
        <v>806</v>
      </c>
      <c r="C28" s="543"/>
    </row>
    <row r="29" spans="1:3" ht="42.75" x14ac:dyDescent="0.2">
      <c r="A29" s="542"/>
      <c r="B29" s="543" t="s">
        <v>807</v>
      </c>
      <c r="C29" s="543"/>
    </row>
    <row r="30" spans="1:3" ht="57" x14ac:dyDescent="0.2">
      <c r="A30" s="542"/>
      <c r="B30" s="543" t="s">
        <v>808</v>
      </c>
      <c r="C30" s="543"/>
    </row>
    <row r="31" spans="1:3" ht="28.5" x14ac:dyDescent="0.2">
      <c r="A31" s="542">
        <v>42459</v>
      </c>
      <c r="B31" s="543" t="s">
        <v>811</v>
      </c>
      <c r="C31" s="543"/>
    </row>
    <row r="32" spans="1:3" ht="28.5" x14ac:dyDescent="0.2">
      <c r="A32" s="542">
        <v>42471</v>
      </c>
      <c r="B32" s="544" t="s">
        <v>812</v>
      </c>
      <c r="C32" s="543"/>
    </row>
    <row r="33" spans="1:3" ht="57" x14ac:dyDescent="0.2">
      <c r="A33" s="542"/>
      <c r="B33" s="544" t="s">
        <v>819</v>
      </c>
      <c r="C33" s="543"/>
    </row>
    <row r="34" spans="1:3" ht="28.5" x14ac:dyDescent="0.2">
      <c r="A34" s="542"/>
      <c r="B34" s="544" t="s">
        <v>829</v>
      </c>
      <c r="C34" s="543"/>
    </row>
    <row r="35" spans="1:3" ht="42.75" x14ac:dyDescent="0.2">
      <c r="A35" s="542"/>
      <c r="B35" s="544" t="s">
        <v>820</v>
      </c>
      <c r="C35" s="543" t="s">
        <v>826</v>
      </c>
    </row>
    <row r="36" spans="1:3" ht="57" x14ac:dyDescent="0.2">
      <c r="A36" s="542"/>
      <c r="B36" s="543" t="s">
        <v>830</v>
      </c>
      <c r="C36" s="543"/>
    </row>
    <row r="37" spans="1:3" x14ac:dyDescent="0.2">
      <c r="A37" s="542">
        <v>42472</v>
      </c>
      <c r="B37" s="4" t="s">
        <v>825</v>
      </c>
      <c r="C37" s="543"/>
    </row>
    <row r="38" spans="1:3" ht="99.75" x14ac:dyDescent="0.2">
      <c r="A38" s="542"/>
      <c r="B38" s="544" t="s">
        <v>710</v>
      </c>
      <c r="C38" s="544" t="s">
        <v>822</v>
      </c>
    </row>
    <row r="39" spans="1:3" ht="214.5" x14ac:dyDescent="0.2">
      <c r="A39" s="542"/>
      <c r="B39" s="544" t="s">
        <v>823</v>
      </c>
      <c r="C39" s="554"/>
    </row>
    <row r="40" spans="1:3" x14ac:dyDescent="0.2">
      <c r="A40" s="555"/>
    </row>
    <row r="41" spans="1:3" ht="71.25" x14ac:dyDescent="0.2">
      <c r="A41" s="555">
        <v>42106</v>
      </c>
      <c r="B41" s="544" t="s">
        <v>831</v>
      </c>
      <c r="C41" s="554"/>
    </row>
    <row r="42" spans="1:3" x14ac:dyDescent="0.2">
      <c r="A42" s="542"/>
      <c r="B42" s="543"/>
      <c r="C42" s="543"/>
    </row>
    <row r="43" spans="1:3" ht="114.75" x14ac:dyDescent="0.2">
      <c r="A43" s="542"/>
      <c r="B43" s="545" t="s">
        <v>824</v>
      </c>
      <c r="C43" s="543"/>
    </row>
    <row r="44" spans="1:3" ht="15" x14ac:dyDescent="0.2">
      <c r="A44" s="542"/>
      <c r="B44" s="546"/>
      <c r="C44" s="543"/>
    </row>
    <row r="45" spans="1:3" ht="15" x14ac:dyDescent="0.2">
      <c r="A45" s="542"/>
      <c r="B45" s="546"/>
      <c r="C45" s="543"/>
    </row>
  </sheetData>
  <pageMargins left="0.7" right="0.7" top="0.75" bottom="0.75" header="0.3" footer="0.3"/>
  <pageSetup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zoomScaleNormal="100" workbookViewId="0">
      <pane ySplit="1" topLeftCell="A40" activePane="bottomLeft" state="frozen"/>
      <selection pane="bottomLeft" activeCell="B25" sqref="B25"/>
    </sheetView>
  </sheetViews>
  <sheetFormatPr defaultRowHeight="14.25" x14ac:dyDescent="0.2"/>
  <cols>
    <col min="1" max="1" width="10.5546875" style="547" customWidth="1"/>
    <col min="2" max="2" width="63.6640625" style="548" customWidth="1"/>
    <col min="3" max="3" width="18.77734375" style="4" customWidth="1"/>
    <col min="4" max="16384" width="8.88671875" style="4"/>
  </cols>
  <sheetData>
    <row r="1" spans="1:3" ht="15" x14ac:dyDescent="0.2">
      <c r="A1" s="540" t="s">
        <v>370</v>
      </c>
      <c r="B1" s="541" t="s">
        <v>371</v>
      </c>
      <c r="C1" s="541" t="s">
        <v>715</v>
      </c>
    </row>
    <row r="2" spans="1:3" ht="28.5" x14ac:dyDescent="0.2">
      <c r="A2" s="542">
        <v>42376</v>
      </c>
      <c r="B2" s="543" t="s">
        <v>716</v>
      </c>
      <c r="C2" s="543"/>
    </row>
    <row r="3" spans="1:3" x14ac:dyDescent="0.2">
      <c r="A3" s="542">
        <v>42401</v>
      </c>
      <c r="B3" s="543" t="s">
        <v>734</v>
      </c>
      <c r="C3" s="543"/>
    </row>
    <row r="4" spans="1:3" ht="71.25" x14ac:dyDescent="0.2">
      <c r="A4" s="542"/>
      <c r="B4" s="543" t="s">
        <v>832</v>
      </c>
      <c r="C4" s="543"/>
    </row>
    <row r="5" spans="1:3" x14ac:dyDescent="0.2">
      <c r="A5" s="542">
        <v>42418</v>
      </c>
      <c r="B5" s="543" t="s">
        <v>735</v>
      </c>
      <c r="C5" s="543"/>
    </row>
    <row r="6" spans="1:3" ht="57" x14ac:dyDescent="0.2">
      <c r="A6" s="542"/>
      <c r="B6" s="543" t="s">
        <v>833</v>
      </c>
      <c r="C6" s="543"/>
    </row>
    <row r="7" spans="1:3" ht="57" x14ac:dyDescent="0.2">
      <c r="A7" s="542"/>
      <c r="B7" s="543" t="s">
        <v>736</v>
      </c>
      <c r="C7" s="543"/>
    </row>
    <row r="8" spans="1:3" ht="42.75" x14ac:dyDescent="0.2">
      <c r="A8" s="542"/>
      <c r="B8" s="543" t="s">
        <v>834</v>
      </c>
      <c r="C8" s="543"/>
    </row>
    <row r="9" spans="1:3" ht="28.5" x14ac:dyDescent="0.2">
      <c r="A9" s="542"/>
      <c r="B9" s="543" t="s">
        <v>737</v>
      </c>
      <c r="C9" s="543"/>
    </row>
    <row r="10" spans="1:3" ht="42.75" x14ac:dyDescent="0.2">
      <c r="A10" s="542"/>
      <c r="B10" s="543" t="s">
        <v>738</v>
      </c>
      <c r="C10" s="543"/>
    </row>
    <row r="11" spans="1:3" x14ac:dyDescent="0.2">
      <c r="A11" s="542">
        <v>42419</v>
      </c>
      <c r="B11" s="543" t="s">
        <v>741</v>
      </c>
      <c r="C11" s="543"/>
    </row>
    <row r="12" spans="1:3" ht="28.5" x14ac:dyDescent="0.2">
      <c r="A12" s="542"/>
      <c r="B12" s="543" t="s">
        <v>742</v>
      </c>
      <c r="C12" s="543"/>
    </row>
    <row r="13" spans="1:3" ht="28.5" x14ac:dyDescent="0.2">
      <c r="A13" s="542"/>
      <c r="B13" s="543" t="s">
        <v>746</v>
      </c>
      <c r="C13" s="543"/>
    </row>
    <row r="14" spans="1:3" x14ac:dyDescent="0.2">
      <c r="A14" s="542"/>
      <c r="B14" s="543" t="s">
        <v>835</v>
      </c>
      <c r="C14" s="543"/>
    </row>
    <row r="15" spans="1:3" ht="28.5" x14ac:dyDescent="0.2">
      <c r="A15" s="542">
        <v>42423</v>
      </c>
      <c r="B15" s="543" t="s">
        <v>747</v>
      </c>
      <c r="C15" s="543"/>
    </row>
    <row r="16" spans="1:3" ht="28.5" x14ac:dyDescent="0.2">
      <c r="A16" s="542"/>
      <c r="B16" s="543" t="s">
        <v>749</v>
      </c>
      <c r="C16" s="543"/>
    </row>
    <row r="17" spans="1:3" x14ac:dyDescent="0.2">
      <c r="A17" s="542">
        <v>42425</v>
      </c>
      <c r="B17" s="543" t="s">
        <v>750</v>
      </c>
      <c r="C17" s="543"/>
    </row>
    <row r="18" spans="1:3" ht="85.5" x14ac:dyDescent="0.2">
      <c r="A18" s="542"/>
      <c r="B18" s="543" t="s">
        <v>751</v>
      </c>
      <c r="C18" s="543" t="s">
        <v>752</v>
      </c>
    </row>
    <row r="19" spans="1:3" ht="71.25" x14ac:dyDescent="0.2">
      <c r="A19" s="542"/>
      <c r="B19" s="543" t="s">
        <v>787</v>
      </c>
      <c r="C19" s="543" t="s">
        <v>788</v>
      </c>
    </row>
    <row r="20" spans="1:3" ht="28.5" x14ac:dyDescent="0.2">
      <c r="A20" s="542">
        <v>42431</v>
      </c>
      <c r="B20" s="543" t="s">
        <v>789</v>
      </c>
      <c r="C20" s="543"/>
    </row>
    <row r="21" spans="1:3" ht="71.25" x14ac:dyDescent="0.2">
      <c r="A21" s="542">
        <v>42431</v>
      </c>
      <c r="B21" s="543" t="s">
        <v>827</v>
      </c>
      <c r="C21" s="543"/>
    </row>
    <row r="22" spans="1:3" ht="71.25" x14ac:dyDescent="0.2">
      <c r="A22" s="542">
        <v>42432</v>
      </c>
      <c r="B22" s="543" t="s">
        <v>792</v>
      </c>
      <c r="C22" s="543"/>
    </row>
    <row r="23" spans="1:3" ht="28.5" x14ac:dyDescent="0.2">
      <c r="A23" s="542">
        <v>42436</v>
      </c>
      <c r="B23" s="543" t="s">
        <v>828</v>
      </c>
      <c r="C23" s="543"/>
    </row>
    <row r="24" spans="1:3" ht="28.5" x14ac:dyDescent="0.2">
      <c r="A24" s="542">
        <v>42440</v>
      </c>
      <c r="B24" s="543" t="s">
        <v>794</v>
      </c>
      <c r="C24" s="543"/>
    </row>
    <row r="25" spans="1:3" ht="28.5" x14ac:dyDescent="0.2">
      <c r="A25" s="542"/>
      <c r="B25" s="543" t="s">
        <v>795</v>
      </c>
      <c r="C25" s="543" t="s">
        <v>793</v>
      </c>
    </row>
    <row r="26" spans="1:3" x14ac:dyDescent="0.2">
      <c r="A26" s="542">
        <v>42453</v>
      </c>
      <c r="B26" s="543" t="s">
        <v>799</v>
      </c>
      <c r="C26" s="543"/>
    </row>
    <row r="27" spans="1:3" ht="156.75" x14ac:dyDescent="0.2">
      <c r="A27" s="542">
        <v>42453</v>
      </c>
      <c r="B27" s="543" t="s">
        <v>805</v>
      </c>
      <c r="C27" s="543"/>
    </row>
    <row r="28" spans="1:3" ht="28.5" x14ac:dyDescent="0.2">
      <c r="A28" s="542">
        <v>42453</v>
      </c>
      <c r="B28" s="543" t="s">
        <v>806</v>
      </c>
      <c r="C28" s="543"/>
    </row>
    <row r="29" spans="1:3" ht="42.75" x14ac:dyDescent="0.2">
      <c r="A29" s="542"/>
      <c r="B29" s="543" t="s">
        <v>807</v>
      </c>
      <c r="C29" s="543"/>
    </row>
    <row r="30" spans="1:3" ht="57" x14ac:dyDescent="0.2">
      <c r="A30" s="542"/>
      <c r="B30" s="543" t="s">
        <v>808</v>
      </c>
      <c r="C30" s="543"/>
    </row>
    <row r="31" spans="1:3" ht="28.5" x14ac:dyDescent="0.2">
      <c r="A31" s="542">
        <v>42459</v>
      </c>
      <c r="B31" s="543" t="s">
        <v>811</v>
      </c>
      <c r="C31" s="543"/>
    </row>
    <row r="32" spans="1:3" ht="28.5" x14ac:dyDescent="0.2">
      <c r="A32" s="542">
        <v>42471</v>
      </c>
      <c r="B32" s="544" t="s">
        <v>812</v>
      </c>
      <c r="C32" s="543"/>
    </row>
    <row r="33" spans="1:3" ht="57" x14ac:dyDescent="0.2">
      <c r="A33" s="542"/>
      <c r="B33" s="544" t="s">
        <v>819</v>
      </c>
      <c r="C33" s="543"/>
    </row>
    <row r="34" spans="1:3" ht="28.5" x14ac:dyDescent="0.2">
      <c r="A34" s="542"/>
      <c r="B34" s="544" t="s">
        <v>829</v>
      </c>
      <c r="C34" s="543"/>
    </row>
    <row r="35" spans="1:3" ht="42.75" x14ac:dyDescent="0.2">
      <c r="A35" s="542"/>
      <c r="B35" s="544" t="s">
        <v>820</v>
      </c>
      <c r="C35" s="543" t="s">
        <v>826</v>
      </c>
    </row>
    <row r="36" spans="1:3" ht="57" x14ac:dyDescent="0.2">
      <c r="A36" s="542"/>
      <c r="B36" s="543" t="s">
        <v>830</v>
      </c>
      <c r="C36" s="543"/>
    </row>
    <row r="37" spans="1:3" x14ac:dyDescent="0.2">
      <c r="A37" s="542">
        <v>42472</v>
      </c>
      <c r="B37" s="4" t="s">
        <v>825</v>
      </c>
      <c r="C37" s="543"/>
    </row>
    <row r="38" spans="1:3" ht="99.75" x14ac:dyDescent="0.2">
      <c r="A38" s="542"/>
      <c r="B38" s="544" t="s">
        <v>710</v>
      </c>
      <c r="C38" s="544" t="s">
        <v>822</v>
      </c>
    </row>
    <row r="39" spans="1:3" ht="214.5" x14ac:dyDescent="0.2">
      <c r="A39" s="542"/>
      <c r="B39" s="544" t="s">
        <v>823</v>
      </c>
      <c r="C39" s="554"/>
    </row>
    <row r="40" spans="1:3" x14ac:dyDescent="0.2">
      <c r="A40" s="555"/>
    </row>
    <row r="41" spans="1:3" ht="71.25" x14ac:dyDescent="0.2">
      <c r="A41" s="555">
        <v>42106</v>
      </c>
      <c r="B41" s="544" t="s">
        <v>831</v>
      </c>
      <c r="C41" s="554"/>
    </row>
    <row r="42" spans="1:3" x14ac:dyDescent="0.2">
      <c r="A42" s="542"/>
      <c r="B42" s="543"/>
      <c r="C42" s="543"/>
    </row>
    <row r="43" spans="1:3" ht="114.75" x14ac:dyDescent="0.2">
      <c r="A43" s="542"/>
      <c r="B43" s="545" t="s">
        <v>824</v>
      </c>
      <c r="C43" s="543"/>
    </row>
    <row r="44" spans="1:3" ht="15" x14ac:dyDescent="0.2">
      <c r="A44" s="542"/>
      <c r="B44" s="546"/>
      <c r="C44" s="543"/>
    </row>
    <row r="45" spans="1:3" ht="15" x14ac:dyDescent="0.2">
      <c r="A45" s="542"/>
      <c r="B45" s="546"/>
      <c r="C45" s="543"/>
    </row>
  </sheetData>
  <pageMargins left="0.7" right="0.7" top="0.75" bottom="0.75" header="0.3" footer="0.3"/>
  <pageSetup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workbookViewId="0">
      <pane ySplit="1" topLeftCell="A35" activePane="bottomLeft" state="frozen"/>
      <selection pane="bottomLeft" activeCell="B6" sqref="B6"/>
    </sheetView>
  </sheetViews>
  <sheetFormatPr defaultRowHeight="14.25" x14ac:dyDescent="0.2"/>
  <cols>
    <col min="1" max="1" width="10.5546875" style="177" customWidth="1"/>
    <col min="2" max="2" width="63.6640625" style="179" customWidth="1"/>
    <col min="3" max="3" width="18.77734375" style="4" customWidth="1"/>
    <col min="4" max="16384" width="8.88671875" style="4"/>
  </cols>
  <sheetData>
    <row r="1" spans="1:4" x14ac:dyDescent="0.2">
      <c r="A1" s="315" t="s">
        <v>370</v>
      </c>
      <c r="B1" s="316" t="s">
        <v>371</v>
      </c>
    </row>
    <row r="2" spans="1:4" x14ac:dyDescent="0.2">
      <c r="A2" s="317">
        <v>41900</v>
      </c>
      <c r="B2" s="329" t="s">
        <v>701</v>
      </c>
      <c r="C2" s="329"/>
      <c r="D2" s="329"/>
    </row>
    <row r="3" spans="1:4" x14ac:dyDescent="0.2">
      <c r="A3" s="317">
        <v>41939</v>
      </c>
      <c r="B3" s="329" t="s">
        <v>647</v>
      </c>
      <c r="C3" s="329"/>
      <c r="D3" s="329"/>
    </row>
    <row r="4" spans="1:4" x14ac:dyDescent="0.2">
      <c r="A4" s="317">
        <v>41950</v>
      </c>
      <c r="B4" s="329" t="s">
        <v>650</v>
      </c>
      <c r="C4" s="329"/>
      <c r="D4" s="329"/>
    </row>
    <row r="5" spans="1:4" ht="38.25" x14ac:dyDescent="0.2">
      <c r="A5" s="317">
        <v>42027</v>
      </c>
      <c r="B5" s="329" t="s">
        <v>654</v>
      </c>
      <c r="C5" s="329" t="s">
        <v>655</v>
      </c>
      <c r="D5" s="329"/>
    </row>
    <row r="6" spans="1:4" ht="25.5" x14ac:dyDescent="0.2">
      <c r="A6" s="317"/>
      <c r="B6" s="329" t="s">
        <v>702</v>
      </c>
      <c r="C6" s="329"/>
      <c r="D6" s="329"/>
    </row>
    <row r="7" spans="1:4" x14ac:dyDescent="0.2">
      <c r="A7" s="317"/>
      <c r="B7" s="329" t="s">
        <v>653</v>
      </c>
      <c r="C7" s="329"/>
      <c r="D7" s="329"/>
    </row>
    <row r="8" spans="1:4" ht="25.5" x14ac:dyDescent="0.2">
      <c r="A8" s="317">
        <v>42039</v>
      </c>
      <c r="B8" s="329" t="s">
        <v>703</v>
      </c>
      <c r="C8" s="329"/>
      <c r="D8" s="329"/>
    </row>
    <row r="9" spans="1:4" ht="51" x14ac:dyDescent="0.2">
      <c r="A9" s="317">
        <v>42047</v>
      </c>
      <c r="B9" s="329" t="s">
        <v>704</v>
      </c>
      <c r="C9" s="329"/>
      <c r="D9" s="329"/>
    </row>
    <row r="10" spans="1:4" ht="25.5" x14ac:dyDescent="0.2">
      <c r="A10" s="317"/>
      <c r="B10" s="329" t="s">
        <v>705</v>
      </c>
      <c r="C10" s="329"/>
      <c r="D10" s="329"/>
    </row>
    <row r="11" spans="1:4" x14ac:dyDescent="0.2">
      <c r="A11" s="317">
        <v>41702</v>
      </c>
      <c r="B11" s="329" t="s">
        <v>531</v>
      </c>
      <c r="C11" s="329"/>
      <c r="D11" s="329"/>
    </row>
    <row r="12" spans="1:4" x14ac:dyDescent="0.2">
      <c r="A12" s="317">
        <v>42080</v>
      </c>
      <c r="B12" s="329" t="s">
        <v>674</v>
      </c>
      <c r="C12" s="329"/>
      <c r="D12" s="329"/>
    </row>
    <row r="13" spans="1:4" ht="25.5" x14ac:dyDescent="0.2">
      <c r="A13" s="317">
        <v>42081</v>
      </c>
      <c r="B13" s="329" t="s">
        <v>678</v>
      </c>
      <c r="C13" s="329"/>
      <c r="D13" s="329"/>
    </row>
    <row r="14" spans="1:4" ht="25.5" x14ac:dyDescent="0.2">
      <c r="A14" s="317"/>
      <c r="B14" s="329" t="s">
        <v>675</v>
      </c>
      <c r="C14" s="329"/>
      <c r="D14" s="329"/>
    </row>
    <row r="15" spans="1:4" x14ac:dyDescent="0.2">
      <c r="A15" s="317"/>
      <c r="B15" s="329" t="s">
        <v>706</v>
      </c>
      <c r="C15" s="329"/>
      <c r="D15" s="329"/>
    </row>
    <row r="16" spans="1:4" x14ac:dyDescent="0.2">
      <c r="A16" s="317"/>
      <c r="B16" s="329" t="s">
        <v>679</v>
      </c>
      <c r="C16" s="329"/>
      <c r="D16" s="329"/>
    </row>
    <row r="17" spans="1:4" x14ac:dyDescent="0.2">
      <c r="A17" s="317"/>
      <c r="B17" s="329" t="s">
        <v>676</v>
      </c>
      <c r="C17" s="329"/>
      <c r="D17" s="329"/>
    </row>
    <row r="18" spans="1:4" x14ac:dyDescent="0.2">
      <c r="A18" s="317"/>
      <c r="B18" s="329" t="s">
        <v>677</v>
      </c>
      <c r="C18" s="329"/>
      <c r="D18" s="329"/>
    </row>
    <row r="19" spans="1:4" x14ac:dyDescent="0.2">
      <c r="A19" s="317"/>
      <c r="B19" s="329" t="s">
        <v>680</v>
      </c>
      <c r="C19" s="329"/>
      <c r="D19" s="329"/>
    </row>
    <row r="20" spans="1:4" x14ac:dyDescent="0.2">
      <c r="A20" s="317"/>
      <c r="B20" s="329" t="s">
        <v>681</v>
      </c>
      <c r="C20" s="329"/>
      <c r="D20" s="329"/>
    </row>
    <row r="21" spans="1:4" ht="25.5" x14ac:dyDescent="0.2">
      <c r="A21" s="317">
        <v>42088</v>
      </c>
      <c r="B21" s="329" t="s">
        <v>544</v>
      </c>
      <c r="C21" s="329"/>
      <c r="D21" s="329"/>
    </row>
    <row r="22" spans="1:4" ht="25.5" x14ac:dyDescent="0.2">
      <c r="A22" s="317"/>
      <c r="B22" s="329" t="s">
        <v>543</v>
      </c>
      <c r="C22" s="329"/>
      <c r="D22" s="329"/>
    </row>
    <row r="23" spans="1:4" ht="25.5" x14ac:dyDescent="0.2">
      <c r="A23" s="317"/>
      <c r="B23" s="329" t="s">
        <v>687</v>
      </c>
      <c r="C23" s="329"/>
      <c r="D23" s="329"/>
    </row>
    <row r="24" spans="1:4" x14ac:dyDescent="0.2">
      <c r="A24" s="317"/>
      <c r="B24" s="329" t="s">
        <v>707</v>
      </c>
      <c r="C24" s="329"/>
      <c r="D24" s="329"/>
    </row>
    <row r="25" spans="1:4" ht="25.5" x14ac:dyDescent="0.2">
      <c r="A25" s="317"/>
      <c r="B25" s="329" t="s">
        <v>686</v>
      </c>
      <c r="C25" s="329"/>
      <c r="D25" s="329"/>
    </row>
    <row r="26" spans="1:4" x14ac:dyDescent="0.2">
      <c r="A26" s="317"/>
      <c r="B26" s="329" t="s">
        <v>688</v>
      </c>
      <c r="C26" s="329"/>
      <c r="D26" s="329"/>
    </row>
    <row r="27" spans="1:4" ht="38.25" x14ac:dyDescent="0.2">
      <c r="A27" s="317"/>
      <c r="B27" s="329" t="s">
        <v>689</v>
      </c>
      <c r="C27" s="329"/>
      <c r="D27" s="329"/>
    </row>
    <row r="28" spans="1:4" ht="38.25" x14ac:dyDescent="0.2">
      <c r="A28" s="317"/>
      <c r="B28" s="329" t="s">
        <v>690</v>
      </c>
      <c r="C28" s="329" t="s">
        <v>692</v>
      </c>
      <c r="D28" s="329"/>
    </row>
    <row r="29" spans="1:4" ht="76.5" x14ac:dyDescent="0.2">
      <c r="A29" s="317"/>
      <c r="B29" s="329" t="s">
        <v>691</v>
      </c>
      <c r="C29" s="329"/>
      <c r="D29" s="329"/>
    </row>
    <row r="30" spans="1:4" ht="25.5" x14ac:dyDescent="0.2">
      <c r="A30" s="317"/>
      <c r="B30" s="319" t="s">
        <v>708</v>
      </c>
      <c r="C30" s="329"/>
      <c r="D30" s="329"/>
    </row>
    <row r="31" spans="1:4" ht="25.5" x14ac:dyDescent="0.2">
      <c r="A31" s="317">
        <v>42101</v>
      </c>
      <c r="B31" s="329" t="s">
        <v>694</v>
      </c>
      <c r="C31" s="329" t="s">
        <v>695</v>
      </c>
      <c r="D31" s="329"/>
    </row>
    <row r="32" spans="1:4" ht="14.25" customHeight="1" x14ac:dyDescent="0.2">
      <c r="A32" s="317"/>
      <c r="B32" s="329" t="s">
        <v>696</v>
      </c>
      <c r="C32" s="329"/>
      <c r="D32" s="329"/>
    </row>
    <row r="33" spans="1:4" ht="102" x14ac:dyDescent="0.2">
      <c r="A33" s="317"/>
      <c r="B33" s="329" t="s">
        <v>697</v>
      </c>
      <c r="C33" s="329"/>
      <c r="D33" s="329"/>
    </row>
    <row r="34" spans="1:4" ht="178.5" x14ac:dyDescent="0.2">
      <c r="A34" s="317"/>
      <c r="B34" s="329" t="s">
        <v>709</v>
      </c>
      <c r="C34" s="329"/>
      <c r="D34" s="329"/>
    </row>
    <row r="35" spans="1:4" ht="25.5" x14ac:dyDescent="0.2">
      <c r="A35" s="317"/>
      <c r="B35" s="329" t="s">
        <v>710</v>
      </c>
      <c r="C35" s="329" t="s">
        <v>713</v>
      </c>
      <c r="D35" s="329"/>
    </row>
    <row r="36" spans="1:4" ht="63.75" x14ac:dyDescent="0.2">
      <c r="A36" s="317">
        <v>42103</v>
      </c>
      <c r="B36" s="329" t="s">
        <v>711</v>
      </c>
      <c r="C36" s="329"/>
      <c r="D36" s="329"/>
    </row>
    <row r="37" spans="1:4" x14ac:dyDescent="0.2">
      <c r="A37" s="317"/>
      <c r="B37" s="329"/>
      <c r="C37" s="329"/>
      <c r="D37" s="329"/>
    </row>
    <row r="38" spans="1:4" x14ac:dyDescent="0.2">
      <c r="A38" s="317"/>
      <c r="B38" s="329"/>
      <c r="C38" s="329"/>
      <c r="D38" s="329"/>
    </row>
    <row r="39" spans="1:4" ht="25.5" x14ac:dyDescent="0.2">
      <c r="A39" s="317"/>
      <c r="B39" s="423" t="s">
        <v>698</v>
      </c>
      <c r="C39" s="329"/>
      <c r="D39" s="329"/>
    </row>
    <row r="40" spans="1:4" x14ac:dyDescent="0.2">
      <c r="A40" s="317"/>
      <c r="B40" s="412"/>
      <c r="C40" s="329"/>
      <c r="D40" s="329"/>
    </row>
    <row r="41" spans="1:4" x14ac:dyDescent="0.2">
      <c r="A41" s="317"/>
      <c r="B41" s="412"/>
      <c r="C41" s="329"/>
      <c r="D41" s="32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zoomScaleNormal="100" workbookViewId="0">
      <pane ySplit="1" topLeftCell="A41" activePane="bottomLeft" state="frozen"/>
      <selection pane="bottomLeft" activeCell="B59" sqref="B59"/>
    </sheetView>
  </sheetViews>
  <sheetFormatPr defaultRowHeight="14.25" x14ac:dyDescent="0.2"/>
  <cols>
    <col min="1" max="1" width="10.5546875" style="177" customWidth="1"/>
    <col min="2" max="2" width="63.6640625" style="179" customWidth="1"/>
    <col min="3" max="3" width="18.77734375" style="4" customWidth="1"/>
    <col min="4" max="16384" width="8.88671875" style="4"/>
  </cols>
  <sheetData>
    <row r="1" spans="1:4" x14ac:dyDescent="0.2">
      <c r="A1" s="315" t="s">
        <v>370</v>
      </c>
      <c r="B1" s="316" t="s">
        <v>371</v>
      </c>
    </row>
    <row r="2" spans="1:4" x14ac:dyDescent="0.2">
      <c r="A2" s="317">
        <v>41607</v>
      </c>
      <c r="B2" s="318" t="s">
        <v>454</v>
      </c>
    </row>
    <row r="3" spans="1:4" ht="89.25" x14ac:dyDescent="0.2">
      <c r="A3" s="317"/>
      <c r="B3" s="318" t="s">
        <v>551</v>
      </c>
    </row>
    <row r="4" spans="1:4" x14ac:dyDescent="0.2">
      <c r="A4" s="317" t="s">
        <v>526</v>
      </c>
      <c r="B4" s="319" t="s">
        <v>527</v>
      </c>
    </row>
    <row r="5" spans="1:4" ht="25.5" x14ac:dyDescent="0.2">
      <c r="A5" s="317">
        <v>41690</v>
      </c>
      <c r="B5" s="329" t="s">
        <v>607</v>
      </c>
    </row>
    <row r="6" spans="1:4" x14ac:dyDescent="0.2">
      <c r="A6" s="317">
        <v>41694</v>
      </c>
      <c r="B6" s="318" t="s">
        <v>550</v>
      </c>
    </row>
    <row r="7" spans="1:4" ht="38.25" x14ac:dyDescent="0.2">
      <c r="A7" s="317"/>
      <c r="B7" s="318" t="s">
        <v>549</v>
      </c>
      <c r="C7" s="4" t="s">
        <v>554</v>
      </c>
      <c r="D7" s="4" t="s">
        <v>556</v>
      </c>
    </row>
    <row r="8" spans="1:4" x14ac:dyDescent="0.2">
      <c r="A8" s="317">
        <v>41702</v>
      </c>
      <c r="B8" s="318" t="s">
        <v>531</v>
      </c>
    </row>
    <row r="9" spans="1:4" ht="25.5" x14ac:dyDescent="0.2">
      <c r="A9" s="317"/>
      <c r="B9" s="318" t="s">
        <v>532</v>
      </c>
    </row>
    <row r="10" spans="1:4" ht="25.5" x14ac:dyDescent="0.2">
      <c r="A10" s="317"/>
      <c r="B10" s="318" t="s">
        <v>533</v>
      </c>
      <c r="C10" s="4" t="s">
        <v>553</v>
      </c>
      <c r="D10" s="4" t="s">
        <v>556</v>
      </c>
    </row>
    <row r="11" spans="1:4" ht="25.5" x14ac:dyDescent="0.2">
      <c r="A11" s="317"/>
      <c r="B11" s="318" t="s">
        <v>534</v>
      </c>
      <c r="C11" s="4" t="s">
        <v>552</v>
      </c>
      <c r="D11" s="4" t="s">
        <v>556</v>
      </c>
    </row>
    <row r="12" spans="1:4" ht="38.25" x14ac:dyDescent="0.2">
      <c r="A12" s="317"/>
      <c r="B12" s="318" t="s">
        <v>535</v>
      </c>
      <c r="C12" s="4" t="s">
        <v>552</v>
      </c>
      <c r="D12" s="4" t="s">
        <v>556</v>
      </c>
    </row>
    <row r="13" spans="1:4" ht="38.25" x14ac:dyDescent="0.2">
      <c r="A13" s="317"/>
      <c r="B13" s="318" t="s">
        <v>536</v>
      </c>
    </row>
    <row r="14" spans="1:4" ht="51" x14ac:dyDescent="0.2">
      <c r="A14" s="317"/>
      <c r="B14" s="318" t="s">
        <v>537</v>
      </c>
      <c r="C14" s="4" t="s">
        <v>555</v>
      </c>
      <c r="D14" s="4" t="s">
        <v>556</v>
      </c>
    </row>
    <row r="15" spans="1:4" ht="25.5" x14ac:dyDescent="0.2">
      <c r="A15" s="317"/>
      <c r="B15" s="318" t="s">
        <v>538</v>
      </c>
      <c r="C15" s="4" t="s">
        <v>567</v>
      </c>
      <c r="D15" s="4" t="s">
        <v>556</v>
      </c>
    </row>
    <row r="16" spans="1:4" x14ac:dyDescent="0.2">
      <c r="A16" s="317"/>
      <c r="B16" s="318" t="s">
        <v>539</v>
      </c>
    </row>
    <row r="17" spans="1:2" x14ac:dyDescent="0.2">
      <c r="A17" s="317"/>
      <c r="B17" s="318" t="s">
        <v>540</v>
      </c>
    </row>
    <row r="18" spans="1:2" x14ac:dyDescent="0.2">
      <c r="A18" s="317"/>
      <c r="B18" s="318" t="s">
        <v>541</v>
      </c>
    </row>
    <row r="19" spans="1:2" ht="25.5" x14ac:dyDescent="0.2">
      <c r="A19" s="317"/>
      <c r="B19" s="318" t="s">
        <v>542</v>
      </c>
    </row>
    <row r="20" spans="1:2" ht="25.5" x14ac:dyDescent="0.2">
      <c r="A20" s="317"/>
      <c r="B20" s="318" t="s">
        <v>544</v>
      </c>
    </row>
    <row r="21" spans="1:2" ht="25.5" x14ac:dyDescent="0.2">
      <c r="A21" s="317"/>
      <c r="B21" s="318" t="s">
        <v>543</v>
      </c>
    </row>
    <row r="22" spans="1:2" ht="25.5" x14ac:dyDescent="0.2">
      <c r="A22" s="317"/>
      <c r="B22" s="318" t="s">
        <v>545</v>
      </c>
    </row>
    <row r="23" spans="1:2" ht="25.5" x14ac:dyDescent="0.2">
      <c r="A23" s="317"/>
      <c r="B23" s="318" t="s">
        <v>546</v>
      </c>
    </row>
    <row r="24" spans="1:2" ht="25.5" x14ac:dyDescent="0.2">
      <c r="A24" s="317"/>
      <c r="B24" s="318" t="s">
        <v>547</v>
      </c>
    </row>
    <row r="25" spans="1:2" x14ac:dyDescent="0.2">
      <c r="A25" s="317">
        <v>41710</v>
      </c>
      <c r="B25" s="318" t="s">
        <v>557</v>
      </c>
    </row>
    <row r="26" spans="1:2" x14ac:dyDescent="0.2">
      <c r="A26" s="317"/>
      <c r="B26" s="318" t="s">
        <v>558</v>
      </c>
    </row>
    <row r="27" spans="1:2" x14ac:dyDescent="0.2">
      <c r="A27" s="317"/>
      <c r="B27" s="318" t="s">
        <v>565</v>
      </c>
    </row>
    <row r="28" spans="1:2" x14ac:dyDescent="0.2">
      <c r="A28" s="317"/>
      <c r="B28" s="318" t="s">
        <v>559</v>
      </c>
    </row>
    <row r="29" spans="1:2" ht="25.5" x14ac:dyDescent="0.2">
      <c r="A29" s="317"/>
      <c r="B29" s="318" t="s">
        <v>566</v>
      </c>
    </row>
    <row r="30" spans="1:2" x14ac:dyDescent="0.2">
      <c r="A30" s="317"/>
      <c r="B30" s="318" t="s">
        <v>561</v>
      </c>
    </row>
    <row r="31" spans="1:2" ht="25.5" x14ac:dyDescent="0.2">
      <c r="A31" s="317"/>
      <c r="B31" s="318" t="s">
        <v>562</v>
      </c>
    </row>
    <row r="32" spans="1:2" x14ac:dyDescent="0.2">
      <c r="A32" s="317"/>
      <c r="B32" s="318" t="s">
        <v>564</v>
      </c>
    </row>
    <row r="33" spans="1:4" x14ac:dyDescent="0.2">
      <c r="A33" s="317">
        <v>41712</v>
      </c>
      <c r="B33" s="329" t="s">
        <v>608</v>
      </c>
    </row>
    <row r="34" spans="1:4" x14ac:dyDescent="0.2">
      <c r="A34" s="317"/>
      <c r="B34" s="329" t="s">
        <v>609</v>
      </c>
    </row>
    <row r="35" spans="1:4" ht="38.25" x14ac:dyDescent="0.2">
      <c r="A35" s="317"/>
      <c r="B35" s="329" t="s">
        <v>570</v>
      </c>
    </row>
    <row r="36" spans="1:4" x14ac:dyDescent="0.2">
      <c r="A36" s="317"/>
      <c r="B36" s="329" t="s">
        <v>571</v>
      </c>
    </row>
    <row r="37" spans="1:4" x14ac:dyDescent="0.2">
      <c r="A37" s="317"/>
      <c r="B37" s="329" t="s">
        <v>572</v>
      </c>
    </row>
    <row r="38" spans="1:4" ht="25.5" x14ac:dyDescent="0.2">
      <c r="A38" s="317"/>
      <c r="B38" s="318" t="s">
        <v>573</v>
      </c>
    </row>
    <row r="39" spans="1:4" ht="51" x14ac:dyDescent="0.2">
      <c r="A39" s="317">
        <v>41715</v>
      </c>
      <c r="B39" s="318" t="s">
        <v>574</v>
      </c>
      <c r="C39" s="4" t="s">
        <v>575</v>
      </c>
      <c r="D39" s="4" t="s">
        <v>556</v>
      </c>
    </row>
    <row r="40" spans="1:4" ht="63.75" x14ac:dyDescent="0.2">
      <c r="A40" s="317"/>
      <c r="B40" s="319" t="s">
        <v>576</v>
      </c>
      <c r="C40" s="4" t="s">
        <v>577</v>
      </c>
      <c r="D40" s="4" t="s">
        <v>556</v>
      </c>
    </row>
    <row r="41" spans="1:4" ht="25.5" x14ac:dyDescent="0.2">
      <c r="A41" s="317"/>
      <c r="B41" s="319" t="s">
        <v>578</v>
      </c>
    </row>
    <row r="42" spans="1:4" ht="25.5" x14ac:dyDescent="0.2">
      <c r="A42" s="317"/>
      <c r="B42" s="319" t="s">
        <v>580</v>
      </c>
    </row>
    <row r="43" spans="1:4" ht="25.5" x14ac:dyDescent="0.2">
      <c r="A43" s="317"/>
      <c r="B43" s="329" t="s">
        <v>586</v>
      </c>
    </row>
    <row r="44" spans="1:4" ht="25.5" x14ac:dyDescent="0.2">
      <c r="A44" s="317"/>
      <c r="B44" s="329" t="s">
        <v>605</v>
      </c>
    </row>
    <row r="45" spans="1:4" x14ac:dyDescent="0.2">
      <c r="A45" s="317">
        <v>41719</v>
      </c>
      <c r="B45" s="318" t="s">
        <v>610</v>
      </c>
    </row>
    <row r="46" spans="1:4" x14ac:dyDescent="0.2">
      <c r="A46" s="317">
        <v>41725</v>
      </c>
      <c r="B46" s="329" t="s">
        <v>628</v>
      </c>
    </row>
    <row r="47" spans="1:4" ht="25.5" x14ac:dyDescent="0.2">
      <c r="A47" s="317"/>
      <c r="B47" s="329" t="s">
        <v>629</v>
      </c>
    </row>
    <row r="48" spans="1:4" ht="25.5" x14ac:dyDescent="0.2">
      <c r="A48" s="317"/>
      <c r="B48" s="329" t="s">
        <v>630</v>
      </c>
    </row>
    <row r="49" spans="1:3" x14ac:dyDescent="0.2">
      <c r="A49" s="317"/>
      <c r="B49" s="329" t="s">
        <v>631</v>
      </c>
    </row>
    <row r="50" spans="1:3" ht="25.5" x14ac:dyDescent="0.2">
      <c r="A50" s="317"/>
      <c r="B50" s="329" t="s">
        <v>632</v>
      </c>
    </row>
    <row r="51" spans="1:3" ht="25.5" x14ac:dyDescent="0.2">
      <c r="A51" s="317"/>
      <c r="B51" s="329" t="s">
        <v>633</v>
      </c>
    </row>
    <row r="52" spans="1:3" x14ac:dyDescent="0.2">
      <c r="A52" s="317">
        <v>41737</v>
      </c>
      <c r="B52" s="329" t="s">
        <v>635</v>
      </c>
    </row>
    <row r="53" spans="1:3" ht="14.25" customHeight="1" x14ac:dyDescent="0.2">
      <c r="A53" s="317"/>
      <c r="B53" s="329" t="s">
        <v>636</v>
      </c>
    </row>
    <row r="54" spans="1:3" ht="38.25" x14ac:dyDescent="0.2">
      <c r="A54" s="317"/>
      <c r="B54" s="329" t="s">
        <v>637</v>
      </c>
    </row>
    <row r="55" spans="1:3" x14ac:dyDescent="0.2">
      <c r="A55" s="317"/>
      <c r="B55" s="329" t="s">
        <v>638</v>
      </c>
    </row>
    <row r="56" spans="1:3" x14ac:dyDescent="0.2">
      <c r="A56" s="317">
        <v>41739</v>
      </c>
      <c r="B56" s="329" t="s">
        <v>640</v>
      </c>
    </row>
    <row r="57" spans="1:3" ht="38.25" x14ac:dyDescent="0.2">
      <c r="A57" s="317"/>
      <c r="B57" s="329" t="s">
        <v>641</v>
      </c>
    </row>
    <row r="58" spans="1:3" x14ac:dyDescent="0.2">
      <c r="A58" s="317"/>
      <c r="B58" s="329" t="s">
        <v>642</v>
      </c>
    </row>
    <row r="59" spans="1:3" x14ac:dyDescent="0.2">
      <c r="A59" s="317"/>
      <c r="B59" s="329"/>
    </row>
    <row r="60" spans="1:3" x14ac:dyDescent="0.2">
      <c r="A60" s="317"/>
      <c r="B60" s="318"/>
    </row>
    <row r="61" spans="1:3" x14ac:dyDescent="0.2">
      <c r="A61" s="317"/>
      <c r="B61" s="318"/>
    </row>
    <row r="62" spans="1:3" x14ac:dyDescent="0.2">
      <c r="A62" s="317"/>
      <c r="B62" s="318"/>
    </row>
    <row r="63" spans="1:3" x14ac:dyDescent="0.2">
      <c r="A63" s="317"/>
      <c r="B63" s="329" t="s">
        <v>639</v>
      </c>
    </row>
    <row r="64" spans="1:3" ht="25.5" x14ac:dyDescent="0.2">
      <c r="A64" s="317"/>
      <c r="B64" s="318" t="s">
        <v>528</v>
      </c>
      <c r="C64" s="4" t="s">
        <v>556</v>
      </c>
    </row>
    <row r="65" spans="1:3" x14ac:dyDescent="0.2">
      <c r="A65" s="317"/>
      <c r="B65" s="318" t="s">
        <v>529</v>
      </c>
      <c r="C65" s="4" t="s">
        <v>556</v>
      </c>
    </row>
    <row r="66" spans="1:3" x14ac:dyDescent="0.2">
      <c r="A66" s="317"/>
      <c r="B66" s="318" t="s">
        <v>581</v>
      </c>
      <c r="C66" s="4" t="s">
        <v>556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Cover Letter</vt:lpstr>
      <vt:lpstr>FY19 Budget Outline</vt:lpstr>
      <vt:lpstr>FY19 Budget Details</vt:lpstr>
      <vt:lpstr>Pie Chart</vt:lpstr>
      <vt:lpstr>Reserve Fund History</vt:lpstr>
      <vt:lpstr>FY17 Change log</vt:lpstr>
      <vt:lpstr>FY18 Change log</vt:lpstr>
      <vt:lpstr>FY16 Change log</vt:lpstr>
      <vt:lpstr>FY15 Change log</vt:lpstr>
      <vt:lpstr>FY14 Budget Outline</vt:lpstr>
      <vt:lpstr>FY13 Change log</vt:lpstr>
      <vt:lpstr>FY14 Change log</vt:lpstr>
      <vt:lpstr>FY13 Budget Outline</vt:lpstr>
      <vt:lpstr>FY13 Budget Details</vt:lpstr>
      <vt:lpstr>IT</vt:lpstr>
      <vt:lpstr>'FY13 Budget Details'!Print_Area</vt:lpstr>
      <vt:lpstr>'FY13 Budget Outline'!Print_Area</vt:lpstr>
      <vt:lpstr>'FY14 Budget Outline'!Print_Area</vt:lpstr>
      <vt:lpstr>'FY17 Change log'!Print_Area</vt:lpstr>
      <vt:lpstr>'FY18 Change log'!Print_Area</vt:lpstr>
      <vt:lpstr>'FY19 Budget Details'!Print_Area</vt:lpstr>
      <vt:lpstr>'Pie Chart'!Print_Area</vt:lpstr>
      <vt:lpstr>'FY13 Budget Details'!Print_Titles</vt:lpstr>
      <vt:lpstr>'FY19 Budget 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Pavilion</dc:creator>
  <cp:lastModifiedBy>Lainson, Roy</cp:lastModifiedBy>
  <cp:lastPrinted>2018-04-18T13:13:45Z</cp:lastPrinted>
  <dcterms:created xsi:type="dcterms:W3CDTF">2010-03-14T23:07:20Z</dcterms:created>
  <dcterms:modified xsi:type="dcterms:W3CDTF">2018-04-18T18:09:51Z</dcterms:modified>
</cp:coreProperties>
</file>